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812"/>
  <workbookPr showInkAnnotation="0" checkCompatibility="1" autoCompressPictures="0"/>
  <bookViews>
    <workbookView xWindow="7280" yWindow="1300" windowWidth="20780" windowHeight="19400" tabRatio="500"/>
  </bookViews>
  <sheets>
    <sheet name="Calendar" sheetId="1" r:id="rId1"/>
  </sheets>
  <definedNames>
    <definedName name="AprSun1">DATEVALUE("4/1/"&amp;Calendar!$H$2+1)-WEEKDAY(DATEVALUE("4/1/"&amp;Calendar!$H$2+1))+1</definedName>
    <definedName name="DecSun1">DATEVALUE("12/1/"&amp;Calendar!$H$2)-WEEKDAY(DATEVALUE("12/1/"&amp;Calendar!$H$2))+1</definedName>
    <definedName name="FebSun1">DATEVALUE("2/1/"&amp;Calendar!$H$2+1)-WEEKDAY(DATEVALUE("2/1/"&amp;Calendar!$H$2+1))+1</definedName>
    <definedName name="JanSun1">DATEVALUE("1/1/"&amp;Calendar!$H$2+1)-WEEKDAY(DATEVALUE("1/1/"&amp;Calendar!$H$2+1))+1</definedName>
    <definedName name="JunSun1">DATEVALUE("6/1/"&amp;Calendar!$H$2+1)-WEEKDAY(DATEVALUE("6/1/"&amp;Calendar!$H$2+1))+1</definedName>
    <definedName name="MarSun1">DATEVALUE("3/1/"&amp;Calendar!$H$2+1)-WEEKDAY(DATEVALUE("3/1/"&amp;Calendar!$H$2+1))+1</definedName>
    <definedName name="MaySun1">DATEVALUE("5/1/"&amp;Calendar!$H$2+1)-WEEKDAY(DATEVALUE("5/1/"&amp;Calendar!$H$2+1))+1</definedName>
    <definedName name="NovSun1">DATEVALUE("11/1/"&amp;Calendar!$H$2)-WEEKDAY(DATEVALUE("11/1/"&amp;Calendar!$H$2))+1</definedName>
    <definedName name="OctSun1">DATEVALUE("10/1/"&amp;Calendar!$H$2)-WEEKDAY(DATEVALUE("10/1/"&amp;Calendar!$H$2))+1</definedName>
    <definedName name="SepSun1">DATEVALUE("9/1/"&amp;Calendar!$H$2)-WEEKDAY(DATEVALUE("9/1/"&amp;Calendar!$H$2))+1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2" i="1" l="1"/>
  <c r="C3" i="1"/>
  <c r="O40" i="1"/>
  <c r="N40" i="1"/>
  <c r="M40" i="1"/>
  <c r="L40" i="1"/>
  <c r="K40" i="1"/>
  <c r="O39" i="1"/>
  <c r="N39" i="1"/>
  <c r="M39" i="1"/>
  <c r="L39" i="1"/>
  <c r="K39" i="1"/>
  <c r="O38" i="1"/>
  <c r="N38" i="1"/>
  <c r="M38" i="1"/>
  <c r="L38" i="1"/>
  <c r="K38" i="1"/>
  <c r="O37" i="1"/>
  <c r="N37" i="1"/>
  <c r="M37" i="1"/>
  <c r="L37" i="1"/>
  <c r="K37" i="1"/>
  <c r="O36" i="1"/>
  <c r="N36" i="1"/>
  <c r="M36" i="1"/>
  <c r="L36" i="1"/>
  <c r="K36" i="1"/>
  <c r="O35" i="1"/>
  <c r="N35" i="1"/>
  <c r="M35" i="1"/>
  <c r="L35" i="1"/>
  <c r="K35" i="1"/>
  <c r="O32" i="1"/>
  <c r="N32" i="1"/>
  <c r="M32" i="1"/>
  <c r="L32" i="1"/>
  <c r="K32" i="1"/>
  <c r="O31" i="1"/>
  <c r="N31" i="1"/>
  <c r="M31" i="1"/>
  <c r="L31" i="1"/>
  <c r="K31" i="1"/>
  <c r="O30" i="1"/>
  <c r="N30" i="1"/>
  <c r="M30" i="1"/>
  <c r="L30" i="1"/>
  <c r="K30" i="1"/>
  <c r="O29" i="1"/>
  <c r="N29" i="1"/>
  <c r="M29" i="1"/>
  <c r="L29" i="1"/>
  <c r="K29" i="1"/>
  <c r="O28" i="1"/>
  <c r="N28" i="1"/>
  <c r="M28" i="1"/>
  <c r="L28" i="1"/>
  <c r="K28" i="1"/>
  <c r="O27" i="1"/>
  <c r="N27" i="1"/>
  <c r="M27" i="1"/>
  <c r="L27" i="1"/>
  <c r="K27" i="1"/>
  <c r="O24" i="1"/>
  <c r="N24" i="1"/>
  <c r="M24" i="1"/>
  <c r="L24" i="1"/>
  <c r="K24" i="1"/>
  <c r="O23" i="1"/>
  <c r="N23" i="1"/>
  <c r="M23" i="1"/>
  <c r="L23" i="1"/>
  <c r="K23" i="1"/>
  <c r="O22" i="1"/>
  <c r="N22" i="1"/>
  <c r="M22" i="1"/>
  <c r="L22" i="1"/>
  <c r="K22" i="1"/>
  <c r="O21" i="1"/>
  <c r="N21" i="1"/>
  <c r="M21" i="1"/>
  <c r="L21" i="1"/>
  <c r="K21" i="1"/>
  <c r="O20" i="1"/>
  <c r="N20" i="1"/>
  <c r="M20" i="1"/>
  <c r="L20" i="1"/>
  <c r="K20" i="1"/>
  <c r="O19" i="1"/>
  <c r="N19" i="1"/>
  <c r="M19" i="1"/>
  <c r="L19" i="1"/>
  <c r="K19" i="1"/>
  <c r="O16" i="1"/>
  <c r="N16" i="1"/>
  <c r="M16" i="1"/>
  <c r="L16" i="1"/>
  <c r="K16" i="1"/>
  <c r="O15" i="1"/>
  <c r="N15" i="1"/>
  <c r="M15" i="1"/>
  <c r="L15" i="1"/>
  <c r="K15" i="1"/>
  <c r="O14" i="1"/>
  <c r="N14" i="1"/>
  <c r="M14" i="1"/>
  <c r="L14" i="1"/>
  <c r="K14" i="1"/>
  <c r="O13" i="1"/>
  <c r="N13" i="1"/>
  <c r="M13" i="1"/>
  <c r="L13" i="1"/>
  <c r="K13" i="1"/>
  <c r="O12" i="1"/>
  <c r="N12" i="1"/>
  <c r="M12" i="1"/>
  <c r="L12" i="1"/>
  <c r="K12" i="1"/>
  <c r="O11" i="1"/>
  <c r="N11" i="1"/>
  <c r="M11" i="1"/>
  <c r="L11" i="1"/>
  <c r="K11" i="1"/>
  <c r="O8" i="1"/>
  <c r="N8" i="1"/>
  <c r="M8" i="1"/>
  <c r="L8" i="1"/>
  <c r="K8" i="1"/>
  <c r="O7" i="1"/>
  <c r="N7" i="1"/>
  <c r="M7" i="1"/>
  <c r="L7" i="1"/>
  <c r="K7" i="1"/>
  <c r="O6" i="1"/>
  <c r="N6" i="1"/>
  <c r="M6" i="1"/>
  <c r="L6" i="1"/>
  <c r="K6" i="1"/>
  <c r="O5" i="1"/>
  <c r="N5" i="1"/>
  <c r="M5" i="1"/>
  <c r="L5" i="1"/>
  <c r="K5" i="1"/>
  <c r="O4" i="1"/>
  <c r="N4" i="1"/>
  <c r="M4" i="1"/>
  <c r="L4" i="1"/>
  <c r="K4" i="1"/>
  <c r="O3" i="1"/>
  <c r="N3" i="1"/>
  <c r="M3" i="1"/>
  <c r="L3" i="1"/>
  <c r="K3" i="1"/>
  <c r="B35" i="1"/>
  <c r="E40" i="1"/>
  <c r="D40" i="1"/>
  <c r="C40" i="1"/>
  <c r="B40" i="1"/>
  <c r="A40" i="1"/>
  <c r="E39" i="1"/>
  <c r="D39" i="1"/>
  <c r="C39" i="1"/>
  <c r="B39" i="1"/>
  <c r="A39" i="1"/>
  <c r="E38" i="1"/>
  <c r="D38" i="1"/>
  <c r="C38" i="1"/>
  <c r="B38" i="1"/>
  <c r="A38" i="1"/>
  <c r="E37" i="1"/>
  <c r="D37" i="1"/>
  <c r="C37" i="1"/>
  <c r="B37" i="1"/>
  <c r="A37" i="1"/>
  <c r="E36" i="1"/>
  <c r="D36" i="1"/>
  <c r="C36" i="1"/>
  <c r="B36" i="1"/>
  <c r="A36" i="1"/>
  <c r="E35" i="1"/>
  <c r="D35" i="1"/>
  <c r="C35" i="1"/>
  <c r="A35" i="1"/>
  <c r="E32" i="1"/>
  <c r="D32" i="1"/>
  <c r="C32" i="1"/>
  <c r="B32" i="1"/>
  <c r="A32" i="1"/>
  <c r="E31" i="1"/>
  <c r="D31" i="1"/>
  <c r="C31" i="1"/>
  <c r="B31" i="1"/>
  <c r="A31" i="1"/>
  <c r="E30" i="1"/>
  <c r="D30" i="1"/>
  <c r="C30" i="1"/>
  <c r="B30" i="1"/>
  <c r="A30" i="1"/>
  <c r="E29" i="1"/>
  <c r="D29" i="1"/>
  <c r="C29" i="1"/>
  <c r="B29" i="1"/>
  <c r="A29" i="1"/>
  <c r="E28" i="1"/>
  <c r="D28" i="1"/>
  <c r="C28" i="1"/>
  <c r="B28" i="1"/>
  <c r="A28" i="1"/>
  <c r="E27" i="1"/>
  <c r="D27" i="1"/>
  <c r="C27" i="1"/>
  <c r="B27" i="1"/>
  <c r="A27" i="1"/>
  <c r="E24" i="1"/>
  <c r="D24" i="1"/>
  <c r="C24" i="1"/>
  <c r="B24" i="1"/>
  <c r="A24" i="1"/>
  <c r="E23" i="1"/>
  <c r="D23" i="1"/>
  <c r="C23" i="1"/>
  <c r="B23" i="1"/>
  <c r="A23" i="1"/>
  <c r="E22" i="1"/>
  <c r="D22" i="1"/>
  <c r="C22" i="1"/>
  <c r="B22" i="1"/>
  <c r="A22" i="1"/>
  <c r="E21" i="1"/>
  <c r="D21" i="1"/>
  <c r="C21" i="1"/>
  <c r="B21" i="1"/>
  <c r="A21" i="1"/>
  <c r="E20" i="1"/>
  <c r="D20" i="1"/>
  <c r="C20" i="1"/>
  <c r="B20" i="1"/>
  <c r="A20" i="1"/>
  <c r="E19" i="1"/>
  <c r="D19" i="1"/>
  <c r="C19" i="1"/>
  <c r="B19" i="1"/>
  <c r="A19" i="1"/>
  <c r="E16" i="1"/>
  <c r="D16" i="1"/>
  <c r="C16" i="1"/>
  <c r="B16" i="1"/>
  <c r="A16" i="1"/>
  <c r="E15" i="1"/>
  <c r="D15" i="1"/>
  <c r="C15" i="1"/>
  <c r="B15" i="1"/>
  <c r="A15" i="1"/>
  <c r="E14" i="1"/>
  <c r="D14" i="1"/>
  <c r="C14" i="1"/>
  <c r="B14" i="1"/>
  <c r="A14" i="1"/>
  <c r="E13" i="1"/>
  <c r="D13" i="1"/>
  <c r="C13" i="1"/>
  <c r="B13" i="1"/>
  <c r="A13" i="1"/>
  <c r="E12" i="1"/>
  <c r="D12" i="1"/>
  <c r="C12" i="1"/>
  <c r="B12" i="1"/>
  <c r="A12" i="1"/>
  <c r="E11" i="1"/>
  <c r="D11" i="1"/>
  <c r="C11" i="1"/>
  <c r="B11" i="1"/>
  <c r="A11" i="1"/>
  <c r="E8" i="1"/>
  <c r="D8" i="1"/>
  <c r="C8" i="1"/>
  <c r="B8" i="1"/>
  <c r="A8" i="1"/>
  <c r="E7" i="1"/>
  <c r="D7" i="1"/>
  <c r="C7" i="1"/>
  <c r="B7" i="1"/>
  <c r="A7" i="1"/>
  <c r="E6" i="1"/>
  <c r="D6" i="1"/>
  <c r="C6" i="1"/>
  <c r="B6" i="1"/>
  <c r="A6" i="1"/>
  <c r="E5" i="1"/>
  <c r="D5" i="1"/>
  <c r="C5" i="1"/>
  <c r="B5" i="1"/>
  <c r="A5" i="1"/>
  <c r="E4" i="1"/>
  <c r="D4" i="1"/>
  <c r="C4" i="1"/>
  <c r="B4" i="1"/>
  <c r="A4" i="1"/>
  <c r="E3" i="1"/>
  <c r="D3" i="1"/>
  <c r="B3" i="1"/>
  <c r="A3" i="1"/>
</calcChain>
</file>

<file path=xl/sharedStrings.xml><?xml version="1.0" encoding="utf-8"?>
<sst xmlns="http://schemas.openxmlformats.org/spreadsheetml/2006/main" count="121" uniqueCount="58">
  <si>
    <t>Franklin Lakes Public Schools District Calendar</t>
  </si>
  <si>
    <t>September</t>
  </si>
  <si>
    <t>M</t>
  </si>
  <si>
    <t>T</t>
  </si>
  <si>
    <t>W</t>
  </si>
  <si>
    <t>F</t>
  </si>
  <si>
    <t>October</t>
  </si>
  <si>
    <t>January</t>
  </si>
  <si>
    <t>November</t>
  </si>
  <si>
    <t>December</t>
  </si>
  <si>
    <t>February</t>
  </si>
  <si>
    <t>March</t>
  </si>
  <si>
    <t>April</t>
  </si>
  <si>
    <t>May</t>
  </si>
  <si>
    <t>June</t>
  </si>
  <si>
    <t>Key:</t>
  </si>
  <si>
    <t xml:space="preserve">          Schools Closed</t>
  </si>
  <si>
    <t xml:space="preserve">          Minimum Day</t>
  </si>
  <si>
    <t xml:space="preserve">         Faculty and Staff Day; No Students</t>
  </si>
  <si>
    <t>Professional Development Day for Teachers</t>
  </si>
  <si>
    <t>District Closed</t>
  </si>
  <si>
    <t>First Day for Students</t>
  </si>
  <si>
    <t>Minimum Day - Professional Development</t>
  </si>
  <si>
    <t>15 Days</t>
  </si>
  <si>
    <t>22 Days</t>
  </si>
  <si>
    <t>5,6</t>
  </si>
  <si>
    <t>26-27</t>
  </si>
  <si>
    <t>17 Days</t>
  </si>
  <si>
    <t>24-31</t>
  </si>
  <si>
    <t>Schools Closed - Holiday Recess</t>
  </si>
  <si>
    <t>Schools Closed - NJEA Convention</t>
  </si>
  <si>
    <t>District Closed - New Years Day</t>
  </si>
  <si>
    <t>District Closed - Thanksgiving Recess</t>
  </si>
  <si>
    <t>District Closed - Rosh Hashannah</t>
  </si>
  <si>
    <t>District Closed - Yom Kippur</t>
  </si>
  <si>
    <t>District Closed - Labor Day</t>
  </si>
  <si>
    <t>Minimum Day (per contract)</t>
  </si>
  <si>
    <t>Schools Closed - Professional Day for Teachers</t>
  </si>
  <si>
    <t>&amp; Martin Luther King, Jr. Day</t>
  </si>
  <si>
    <t>19 Days</t>
  </si>
  <si>
    <t>15,16</t>
  </si>
  <si>
    <t>District Closed - Presidents Weekend Recess</t>
  </si>
  <si>
    <t>District Closed - Good Friday</t>
  </si>
  <si>
    <t>Schools Closed - Spring Recess</t>
  </si>
  <si>
    <t>District Closed - Memorial Day</t>
  </si>
  <si>
    <t>21 Days</t>
  </si>
  <si>
    <t>Minimum Day - Last Day for Students</t>
  </si>
  <si>
    <t>Minimum day</t>
  </si>
  <si>
    <t>Last Day for Teachers</t>
  </si>
  <si>
    <t>School Hours:
Grades K-5: 8:50 a.m. - 3:30 p.m.
Grades 6-8: 8:05 a.m. - 2:50 p.m.</t>
  </si>
  <si>
    <t>Delayed Opening:
Grades K-5: 10:20 a.m. - 3:30 p.m.
Grades 6-8: 9:35 a.m. - 2:50 p.m.</t>
  </si>
  <si>
    <t>Early Dismissal:
Grades K-5: 8:50 a.m. - 1:00 p.m.
Grades 6-8: 8:05 a.m. - 12:15 p.m.</t>
  </si>
  <si>
    <t>NOTE: The calendar may be extended should unforeseen circumstances require it and/or subect to the work year being extended.  Therefore, no plans which cannot be changed whould be made prior to June 30.  The Board of Education reserves the right to modify the claendar as may be deemed necessary.  In most cases, when additional days are requred, they will be added to the end of June.  Unused emergency (snow) days will be used first to extend Memorial Day weekend and then shorten the school year.</t>
  </si>
  <si>
    <t>16 Days</t>
  </si>
  <si>
    <t>Minimum Days - Parent Teacher Conferences</t>
  </si>
  <si>
    <t>4-8</t>
  </si>
  <si>
    <t>2,3,4</t>
  </si>
  <si>
    <t>If you would like to request an evaluation for special education and related services, send a written request for an evaluation to Franklin Lakes SchoolsSpecial Services, 749 Colonial Road.  Include your child's name, age, address and suspected disability.  Additional information is available at www.state.nj.us/njded/specialed or call 1-800-322-8174.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</si>
</sst>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
  </numFmts>
  <fonts count="12"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b/>
      <sz val="10"/>
      <name val="Calibri"/>
      <family val="2"/>
      <scheme val="minor"/>
    </font>
    <font>
      <sz val="10"/>
      <name val="Calibri"/>
      <family val="2"/>
      <scheme val="minor"/>
    </font>
    <font>
      <b/>
      <i/>
      <sz val="6"/>
      <name val="Geneva"/>
    </font>
    <font>
      <sz val="6"/>
      <color theme="1"/>
      <name val="Calibri"/>
      <family val="2"/>
      <scheme val="minor"/>
    </font>
    <font>
      <b/>
      <i/>
      <sz val="7"/>
      <name val="Geneva"/>
    </font>
    <font>
      <u/>
      <sz val="9"/>
      <color theme="1"/>
      <name val="Calibri"/>
      <scheme val="minor"/>
    </font>
    <font>
      <sz val="7"/>
      <color theme="1"/>
      <name val="Geneva"/>
    </font>
    <font>
      <b/>
      <i/>
      <sz val="7"/>
      <color theme="1"/>
      <name val="Geneva"/>
    </font>
  </fonts>
  <fills count="6">
    <fill>
      <patternFill patternType="none"/>
    </fill>
    <fill>
      <patternFill patternType="gray125"/>
    </fill>
    <fill>
      <patternFill patternType="solid">
        <fgColor theme="4"/>
        <bgColor indexed="64"/>
      </patternFill>
    </fill>
    <fill>
      <patternFill patternType="solid">
        <fgColor indexed="44"/>
        <bgColor indexed="64"/>
      </patternFill>
    </fill>
    <fill>
      <patternFill patternType="solid">
        <fgColor theme="3" tint="0.79998168889431442"/>
        <bgColor indexed="64"/>
      </patternFill>
    </fill>
    <fill>
      <patternFill patternType="solid">
        <fgColor theme="4" tint="0.59999389629810485"/>
        <bgColor indexed="64"/>
      </patternFill>
    </fill>
  </fills>
  <borders count="14">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3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50">
    <xf numFmtId="0" fontId="0" fillId="0" borderId="0" xfId="0"/>
    <xf numFmtId="0" fontId="0" fillId="0" borderId="0" xfId="0" applyAlignment="1">
      <alignment horizontal="left"/>
    </xf>
    <xf numFmtId="0" fontId="5" fillId="0" borderId="2" xfId="0" applyFont="1" applyBorder="1" applyAlignment="1">
      <alignment horizontal="center"/>
    </xf>
    <xf numFmtId="164" fontId="5" fillId="0" borderId="2" xfId="0" applyNumberFormat="1" applyFont="1" applyBorder="1"/>
    <xf numFmtId="164" fontId="5" fillId="0" borderId="3" xfId="0" applyNumberFormat="1" applyFont="1" applyBorder="1"/>
    <xf numFmtId="0" fontId="6" fillId="0" borderId="0" xfId="0" applyFont="1" applyBorder="1"/>
    <xf numFmtId="0" fontId="7" fillId="0" borderId="0" xfId="0" applyFont="1"/>
    <xf numFmtId="0" fontId="7" fillId="3" borderId="2" xfId="0" applyFont="1" applyFill="1" applyBorder="1"/>
    <xf numFmtId="0" fontId="7" fillId="0" borderId="2" xfId="0" applyFont="1" applyBorder="1"/>
    <xf numFmtId="49" fontId="8" fillId="0" borderId="6" xfId="0" applyNumberFormat="1" applyFont="1" applyBorder="1" applyAlignment="1"/>
    <xf numFmtId="49" fontId="8" fillId="0" borderId="9" xfId="0" applyNumberFormat="1" applyFont="1" applyBorder="1" applyAlignment="1"/>
    <xf numFmtId="49" fontId="8" fillId="0" borderId="9" xfId="0" applyNumberFormat="1" applyFont="1" applyBorder="1"/>
    <xf numFmtId="49" fontId="8" fillId="0" borderId="11" xfId="0" applyNumberFormat="1" applyFont="1" applyBorder="1"/>
    <xf numFmtId="164" fontId="5" fillId="4" borderId="2" xfId="0" applyNumberFormat="1" applyFont="1" applyFill="1" applyBorder="1"/>
    <xf numFmtId="0" fontId="9" fillId="0" borderId="0" xfId="0" applyFont="1"/>
    <xf numFmtId="164" fontId="5" fillId="0" borderId="2" xfId="0" applyNumberFormat="1" applyFont="1" applyFill="1" applyBorder="1"/>
    <xf numFmtId="49" fontId="8" fillId="0" borderId="0" xfId="0" applyNumberFormat="1" applyFont="1" applyBorder="1" applyAlignment="1">
      <alignment horizontal="right"/>
    </xf>
    <xf numFmtId="164" fontId="5" fillId="5" borderId="2" xfId="0" applyNumberFormat="1" applyFont="1" applyFill="1" applyBorder="1"/>
    <xf numFmtId="0" fontId="10" fillId="0" borderId="6" xfId="0" applyFont="1" applyBorder="1" applyAlignment="1">
      <alignment vertical="top" wrapText="1"/>
    </xf>
    <xf numFmtId="0" fontId="0" fillId="0" borderId="7" xfId="0" applyBorder="1" applyAlignment="1">
      <alignment vertical="top"/>
    </xf>
    <xf numFmtId="0" fontId="0" fillId="0" borderId="8"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10" fillId="0" borderId="6" xfId="0" applyFont="1" applyBorder="1" applyAlignment="1">
      <alignment wrapText="1"/>
    </xf>
    <xf numFmtId="0" fontId="0" fillId="0" borderId="7" xfId="0" applyBorder="1" applyAlignment="1"/>
    <xf numFmtId="0" fontId="0" fillId="0" borderId="8" xfId="0" applyBorder="1" applyAlignment="1"/>
    <xf numFmtId="0" fontId="0" fillId="0" borderId="11" xfId="0" applyBorder="1" applyAlignment="1"/>
    <xf numFmtId="0" fontId="0" fillId="0" borderId="12" xfId="0" applyBorder="1" applyAlignment="1"/>
    <xf numFmtId="0" fontId="0" fillId="0" borderId="13" xfId="0" applyBorder="1" applyAlignment="1"/>
    <xf numFmtId="0" fontId="4" fillId="2" borderId="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0" fillId="0" borderId="0" xfId="0"/>
    <xf numFmtId="49" fontId="8" fillId="0" borderId="7" xfId="0" applyNumberFormat="1" applyFont="1" applyBorder="1" applyAlignment="1">
      <alignment horizontal="right"/>
    </xf>
    <xf numFmtId="49" fontId="8" fillId="0" borderId="8" xfId="0" applyNumberFormat="1" applyFont="1" applyBorder="1"/>
    <xf numFmtId="49" fontId="8" fillId="0" borderId="10" xfId="0" applyNumberFormat="1" applyFont="1" applyBorder="1"/>
    <xf numFmtId="49" fontId="11" fillId="0" borderId="9" xfId="0" applyNumberFormat="1" applyFont="1" applyBorder="1"/>
    <xf numFmtId="49" fontId="6" fillId="0" borderId="0" xfId="0" applyNumberFormat="1" applyFont="1" applyBorder="1" applyAlignment="1">
      <alignment horizontal="right"/>
    </xf>
    <xf numFmtId="49" fontId="6" fillId="0" borderId="10" xfId="0" applyNumberFormat="1" applyFont="1" applyBorder="1"/>
    <xf numFmtId="49" fontId="8" fillId="0" borderId="0" xfId="0" applyNumberFormat="1" applyFont="1" applyBorder="1"/>
    <xf numFmtId="49" fontId="8" fillId="0" borderId="10" xfId="0" applyNumberFormat="1" applyFont="1" applyBorder="1" applyAlignment="1">
      <alignment horizontal="left"/>
    </xf>
    <xf numFmtId="49" fontId="11" fillId="0" borderId="10" xfId="0" applyNumberFormat="1" applyFont="1" applyBorder="1"/>
    <xf numFmtId="49" fontId="8" fillId="0" borderId="12" xfId="0" applyNumberFormat="1" applyFont="1" applyBorder="1"/>
    <xf numFmtId="49" fontId="8" fillId="0" borderId="13" xfId="0" applyNumberFormat="1" applyFont="1" applyBorder="1"/>
    <xf numFmtId="49" fontId="0" fillId="0" borderId="9" xfId="0" applyNumberFormat="1" applyBorder="1"/>
    <xf numFmtId="49" fontId="0" fillId="0" borderId="0" xfId="0" applyNumberFormat="1" applyBorder="1"/>
    <xf numFmtId="49" fontId="0" fillId="0" borderId="10" xfId="0" applyNumberFormat="1" applyBorder="1"/>
    <xf numFmtId="49" fontId="11" fillId="0" borderId="10" xfId="0" applyNumberFormat="1" applyFont="1" applyFill="1" applyBorder="1"/>
    <xf numFmtId="49" fontId="11" fillId="0" borderId="0" xfId="0" applyNumberFormat="1" applyFont="1" applyBorder="1" applyAlignment="1">
      <alignment horizontal="right"/>
    </xf>
  </cellXfs>
  <cellStyles count="1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12700</xdr:colOff>
      <xdr:row>39</xdr:row>
      <xdr:rowOff>10590</xdr:rowOff>
    </xdr:from>
    <xdr:to>
      <xdr:col>9</xdr:col>
      <xdr:colOff>0</xdr:colOff>
      <xdr:row>41</xdr:row>
      <xdr:rowOff>158750</xdr:rowOff>
    </xdr:to>
    <xdr:sp macro="" textlink="">
      <xdr:nvSpPr>
        <xdr:cNvPr id="3" name="Text Box 67"/>
        <xdr:cNvSpPr txBox="1">
          <a:spLocks noChangeArrowheads="1"/>
        </xdr:cNvSpPr>
      </xdr:nvSpPr>
      <xdr:spPr bwMode="auto">
        <a:xfrm>
          <a:off x="2184400" y="6284390"/>
          <a:ext cx="2857500" cy="47836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000"/>
            </a:lnSpc>
            <a:defRPr sz="1000"/>
          </a:pPr>
          <a:r>
            <a:rPr lang="en-US" sz="900" b="0" i="0" u="none" strike="noStrike" baseline="0">
              <a:solidFill>
                <a:srgbClr val="000000"/>
              </a:solidFill>
              <a:latin typeface="Geneva"/>
              <a:ea typeface="Geneva"/>
              <a:cs typeface="Geneva"/>
            </a:rPr>
            <a:t>Total Number Student Days: 183*</a:t>
          </a:r>
        </a:p>
        <a:p>
          <a:pPr algn="l" rtl="0">
            <a:lnSpc>
              <a:spcPts val="1000"/>
            </a:lnSpc>
            <a:defRPr sz="1000"/>
          </a:pPr>
          <a:r>
            <a:rPr lang="en-US" sz="900" b="0" i="0" u="none" strike="noStrike" baseline="0">
              <a:solidFill>
                <a:srgbClr val="000000"/>
              </a:solidFill>
              <a:latin typeface="Geneva"/>
              <a:ea typeface="Geneva"/>
              <a:cs typeface="Geneva"/>
            </a:rPr>
            <a:t>Total Number Teacher Days: 187</a:t>
          </a:r>
        </a:p>
        <a:p>
          <a:pPr algn="l" rtl="0">
            <a:lnSpc>
              <a:spcPts val="900"/>
            </a:lnSpc>
            <a:defRPr sz="1000"/>
          </a:pPr>
          <a:r>
            <a:rPr lang="en-US" sz="800" b="0" i="0" u="none" strike="noStrike" baseline="0">
              <a:solidFill>
                <a:srgbClr val="000000"/>
              </a:solidFill>
              <a:latin typeface="Geneva"/>
              <a:ea typeface="Geneva"/>
              <a:cs typeface="Geneva"/>
            </a:rPr>
            <a:t>*</a:t>
          </a:r>
          <a:r>
            <a:rPr lang="en-US" sz="800" b="0" i="1" u="none" strike="noStrike" baseline="0">
              <a:solidFill>
                <a:srgbClr val="000000"/>
              </a:solidFill>
              <a:latin typeface="Geneva"/>
              <a:ea typeface="Geneva"/>
              <a:cs typeface="Geneva"/>
            </a:rPr>
            <a:t>3 inclement weather days are built into calendar.</a:t>
          </a:r>
          <a:endParaRPr lang="en-US" sz="900" b="0" i="0" u="none" strike="noStrike" baseline="0">
            <a:solidFill>
              <a:srgbClr val="000000"/>
            </a:solidFill>
            <a:latin typeface="Geneva"/>
            <a:ea typeface="Geneva"/>
            <a:cs typeface="Geneva"/>
          </a:endParaRPr>
        </a:p>
        <a:p>
          <a:pPr algn="l" rtl="0">
            <a:lnSpc>
              <a:spcPts val="1000"/>
            </a:lnSpc>
            <a:defRPr sz="1000"/>
          </a:pPr>
          <a:endParaRPr lang="en-US" sz="900" b="0" i="0" u="none" strike="noStrike" baseline="0">
            <a:solidFill>
              <a:srgbClr val="000000"/>
            </a:solidFill>
            <a:latin typeface="Geneva"/>
            <a:ea typeface="Geneva"/>
            <a:cs typeface="Geneva"/>
          </a:endParaRPr>
        </a:p>
        <a:p>
          <a:pPr algn="l" rtl="0">
            <a:lnSpc>
              <a:spcPts val="1000"/>
            </a:lnSpc>
            <a:defRPr sz="1000"/>
          </a:pPr>
          <a:endParaRPr lang="en-US" sz="900" b="0" i="0" u="none" strike="noStrike" baseline="0">
            <a:solidFill>
              <a:srgbClr val="000000"/>
            </a:solidFill>
            <a:latin typeface="Geneva"/>
            <a:ea typeface="Geneva"/>
            <a:cs typeface="Geneva"/>
          </a:endParaRPr>
        </a:p>
      </xdr:txBody>
    </xdr:sp>
    <xdr:clientData/>
  </xdr:twoCellAnchor>
  <xdr:twoCellAnchor>
    <xdr:from>
      <xdr:col>7</xdr:col>
      <xdr:colOff>12700</xdr:colOff>
      <xdr:row>37</xdr:row>
      <xdr:rowOff>0</xdr:rowOff>
    </xdr:from>
    <xdr:to>
      <xdr:col>8</xdr:col>
      <xdr:colOff>0</xdr:colOff>
      <xdr:row>37</xdr:row>
      <xdr:rowOff>165100</xdr:rowOff>
    </xdr:to>
    <xdr:sp macro="" textlink="">
      <xdr:nvSpPr>
        <xdr:cNvPr id="4" name="Line 37"/>
        <xdr:cNvSpPr>
          <a:spLocks noChangeShapeType="1"/>
        </xdr:cNvSpPr>
      </xdr:nvSpPr>
      <xdr:spPr bwMode="auto">
        <a:xfrm>
          <a:off x="2222500" y="5791200"/>
          <a:ext cx="359833" cy="152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7</xdr:col>
      <xdr:colOff>50800</xdr:colOff>
      <xdr:row>38</xdr:row>
      <xdr:rowOff>16933</xdr:rowOff>
    </xdr:from>
    <xdr:to>
      <xdr:col>7</xdr:col>
      <xdr:colOff>338667</xdr:colOff>
      <xdr:row>38</xdr:row>
      <xdr:rowOff>143933</xdr:rowOff>
    </xdr:to>
    <xdr:sp macro="" textlink="">
      <xdr:nvSpPr>
        <xdr:cNvPr id="5" name="Oval 4"/>
        <xdr:cNvSpPr/>
      </xdr:nvSpPr>
      <xdr:spPr>
        <a:xfrm>
          <a:off x="2260600" y="5808133"/>
          <a:ext cx="287867" cy="127000"/>
        </a:xfrm>
        <a:prstGeom prst="ellipse">
          <a:avLst/>
        </a:prstGeom>
        <a:gradFill flip="none" rotWithShape="1">
          <a:gsLst>
            <a:gs pos="0">
              <a:schemeClr val="dk1">
                <a:tint val="100000"/>
                <a:shade val="100000"/>
                <a:satMod val="130000"/>
                <a:alpha val="0"/>
              </a:schemeClr>
            </a:gs>
            <a:gs pos="100000">
              <a:schemeClr val="dk1">
                <a:tint val="50000"/>
                <a:shade val="100000"/>
                <a:satMod val="350000"/>
                <a:alpha val="0"/>
              </a:schemeClr>
            </a:gs>
          </a:gsLst>
          <a:lin ang="16200000" scaled="0"/>
          <a:tileRect/>
        </a:gradFill>
        <a:ln>
          <a:solidFill>
            <a:schemeClr val="dk1">
              <a:shade val="95000"/>
              <a:satMod val="105000"/>
            </a:schemeClr>
          </a:solidFill>
        </a:ln>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25400</xdr:colOff>
      <xdr:row>2</xdr:row>
      <xdr:rowOff>16933</xdr:rowOff>
    </xdr:from>
    <xdr:to>
      <xdr:col>3</xdr:col>
      <xdr:colOff>8467</xdr:colOff>
      <xdr:row>3</xdr:row>
      <xdr:rowOff>0</xdr:rowOff>
    </xdr:to>
    <xdr:sp macro="" textlink="">
      <xdr:nvSpPr>
        <xdr:cNvPr id="6" name="Oval 5"/>
        <xdr:cNvSpPr/>
      </xdr:nvSpPr>
      <xdr:spPr>
        <a:xfrm>
          <a:off x="635000" y="321733"/>
          <a:ext cx="287867" cy="135467"/>
        </a:xfrm>
        <a:prstGeom prst="ellipse">
          <a:avLst/>
        </a:prstGeom>
        <a:gradFill flip="none" rotWithShape="1">
          <a:gsLst>
            <a:gs pos="0">
              <a:schemeClr val="dk1">
                <a:tint val="100000"/>
                <a:shade val="100000"/>
                <a:satMod val="130000"/>
                <a:alpha val="0"/>
              </a:schemeClr>
            </a:gs>
            <a:gs pos="100000">
              <a:schemeClr val="dk1">
                <a:tint val="50000"/>
                <a:shade val="100000"/>
                <a:satMod val="350000"/>
                <a:alpha val="0"/>
              </a:schemeClr>
            </a:gs>
          </a:gsLst>
          <a:lin ang="16200000" scaled="0"/>
          <a:tileRect/>
        </a:gradFill>
        <a:ln>
          <a:solidFill>
            <a:schemeClr val="dk1">
              <a:shade val="95000"/>
              <a:satMod val="105000"/>
            </a:schemeClr>
          </a:solidFill>
        </a:ln>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25400</xdr:colOff>
      <xdr:row>2</xdr:row>
      <xdr:rowOff>8466</xdr:rowOff>
    </xdr:from>
    <xdr:to>
      <xdr:col>4</xdr:col>
      <xdr:colOff>8467</xdr:colOff>
      <xdr:row>2</xdr:row>
      <xdr:rowOff>143933</xdr:rowOff>
    </xdr:to>
    <xdr:sp macro="" textlink="">
      <xdr:nvSpPr>
        <xdr:cNvPr id="7" name="Oval 6"/>
        <xdr:cNvSpPr/>
      </xdr:nvSpPr>
      <xdr:spPr>
        <a:xfrm>
          <a:off x="939800" y="313266"/>
          <a:ext cx="287867" cy="135467"/>
        </a:xfrm>
        <a:prstGeom prst="ellipse">
          <a:avLst/>
        </a:prstGeom>
        <a:gradFill flip="none" rotWithShape="1">
          <a:gsLst>
            <a:gs pos="0">
              <a:schemeClr val="dk1">
                <a:tint val="100000"/>
                <a:shade val="100000"/>
                <a:satMod val="130000"/>
                <a:alpha val="0"/>
              </a:schemeClr>
            </a:gs>
            <a:gs pos="100000">
              <a:schemeClr val="dk1">
                <a:tint val="50000"/>
                <a:shade val="100000"/>
                <a:satMod val="350000"/>
                <a:alpha val="0"/>
              </a:schemeClr>
            </a:gs>
          </a:gsLst>
          <a:lin ang="16200000" scaled="0"/>
          <a:tileRect/>
        </a:gradFill>
        <a:ln>
          <a:solidFill>
            <a:schemeClr val="dk1">
              <a:shade val="95000"/>
              <a:satMod val="105000"/>
            </a:schemeClr>
          </a:solidFill>
        </a:ln>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304799</xdr:colOff>
      <xdr:row>14</xdr:row>
      <xdr:rowOff>8467</xdr:rowOff>
    </xdr:from>
    <xdr:to>
      <xdr:col>5</xdr:col>
      <xdr:colOff>12700</xdr:colOff>
      <xdr:row>15</xdr:row>
      <xdr:rowOff>0</xdr:rowOff>
    </xdr:to>
    <xdr:sp macro="" textlink="">
      <xdr:nvSpPr>
        <xdr:cNvPr id="8" name="Line 37"/>
        <xdr:cNvSpPr>
          <a:spLocks noChangeShapeType="1"/>
        </xdr:cNvSpPr>
      </xdr:nvSpPr>
      <xdr:spPr bwMode="auto">
        <a:xfrm>
          <a:off x="1219199" y="2142067"/>
          <a:ext cx="317501" cy="1439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2</xdr:col>
      <xdr:colOff>0</xdr:colOff>
      <xdr:row>21</xdr:row>
      <xdr:rowOff>0</xdr:rowOff>
    </xdr:from>
    <xdr:to>
      <xdr:col>3</xdr:col>
      <xdr:colOff>12701</xdr:colOff>
      <xdr:row>21</xdr:row>
      <xdr:rowOff>143933</xdr:rowOff>
    </xdr:to>
    <xdr:sp macro="" textlink="">
      <xdr:nvSpPr>
        <xdr:cNvPr id="10" name="Line 37"/>
        <xdr:cNvSpPr>
          <a:spLocks noChangeShapeType="1"/>
        </xdr:cNvSpPr>
      </xdr:nvSpPr>
      <xdr:spPr bwMode="auto">
        <a:xfrm>
          <a:off x="609600" y="3200400"/>
          <a:ext cx="317501" cy="1439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2</xdr:col>
      <xdr:colOff>0</xdr:colOff>
      <xdr:row>29</xdr:row>
      <xdr:rowOff>0</xdr:rowOff>
    </xdr:from>
    <xdr:to>
      <xdr:col>3</xdr:col>
      <xdr:colOff>12701</xdr:colOff>
      <xdr:row>29</xdr:row>
      <xdr:rowOff>143933</xdr:rowOff>
    </xdr:to>
    <xdr:sp macro="" textlink="">
      <xdr:nvSpPr>
        <xdr:cNvPr id="11" name="Line 37"/>
        <xdr:cNvSpPr>
          <a:spLocks noChangeShapeType="1"/>
        </xdr:cNvSpPr>
      </xdr:nvSpPr>
      <xdr:spPr bwMode="auto">
        <a:xfrm>
          <a:off x="609600" y="4419600"/>
          <a:ext cx="317501" cy="1439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0</xdr:col>
      <xdr:colOff>25400</xdr:colOff>
      <xdr:row>37</xdr:row>
      <xdr:rowOff>16933</xdr:rowOff>
    </xdr:from>
    <xdr:to>
      <xdr:col>1</xdr:col>
      <xdr:colOff>8467</xdr:colOff>
      <xdr:row>38</xdr:row>
      <xdr:rowOff>0</xdr:rowOff>
    </xdr:to>
    <xdr:sp macro="" textlink="">
      <xdr:nvSpPr>
        <xdr:cNvPr id="12" name="Oval 11"/>
        <xdr:cNvSpPr/>
      </xdr:nvSpPr>
      <xdr:spPr>
        <a:xfrm>
          <a:off x="25400" y="5655733"/>
          <a:ext cx="287867" cy="135467"/>
        </a:xfrm>
        <a:prstGeom prst="ellipse">
          <a:avLst/>
        </a:prstGeom>
        <a:gradFill flip="none" rotWithShape="1">
          <a:gsLst>
            <a:gs pos="0">
              <a:schemeClr val="dk1">
                <a:tint val="100000"/>
                <a:shade val="100000"/>
                <a:satMod val="130000"/>
                <a:alpha val="0"/>
              </a:schemeClr>
            </a:gs>
            <a:gs pos="100000">
              <a:schemeClr val="dk1">
                <a:tint val="50000"/>
                <a:shade val="100000"/>
                <a:satMod val="350000"/>
                <a:alpha val="0"/>
              </a:schemeClr>
            </a:gs>
          </a:gsLst>
          <a:lin ang="16200000" scaled="0"/>
          <a:tileRect/>
        </a:gradFill>
        <a:ln>
          <a:solidFill>
            <a:schemeClr val="dk1">
              <a:shade val="95000"/>
              <a:satMod val="105000"/>
            </a:schemeClr>
          </a:solidFill>
        </a:ln>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0</xdr:colOff>
      <xdr:row>3</xdr:row>
      <xdr:rowOff>0</xdr:rowOff>
    </xdr:from>
    <xdr:to>
      <xdr:col>14</xdr:col>
      <xdr:colOff>317501</xdr:colOff>
      <xdr:row>3</xdr:row>
      <xdr:rowOff>143933</xdr:rowOff>
    </xdr:to>
    <xdr:sp macro="" textlink="">
      <xdr:nvSpPr>
        <xdr:cNvPr id="13" name="Line 37"/>
        <xdr:cNvSpPr>
          <a:spLocks noChangeShapeType="1"/>
        </xdr:cNvSpPr>
      </xdr:nvSpPr>
      <xdr:spPr bwMode="auto">
        <a:xfrm>
          <a:off x="6096000" y="457200"/>
          <a:ext cx="317501" cy="1439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10</xdr:col>
      <xdr:colOff>0</xdr:colOff>
      <xdr:row>37</xdr:row>
      <xdr:rowOff>0</xdr:rowOff>
    </xdr:from>
    <xdr:to>
      <xdr:col>10</xdr:col>
      <xdr:colOff>317501</xdr:colOff>
      <xdr:row>37</xdr:row>
      <xdr:rowOff>143933</xdr:rowOff>
    </xdr:to>
    <xdr:sp macro="" textlink="">
      <xdr:nvSpPr>
        <xdr:cNvPr id="15" name="Line 37"/>
        <xdr:cNvSpPr>
          <a:spLocks noChangeShapeType="1"/>
        </xdr:cNvSpPr>
      </xdr:nvSpPr>
      <xdr:spPr bwMode="auto">
        <a:xfrm>
          <a:off x="4809067" y="5638800"/>
          <a:ext cx="317501" cy="1439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11</xdr:col>
      <xdr:colOff>0</xdr:colOff>
      <xdr:row>37</xdr:row>
      <xdr:rowOff>0</xdr:rowOff>
    </xdr:from>
    <xdr:to>
      <xdr:col>11</xdr:col>
      <xdr:colOff>317501</xdr:colOff>
      <xdr:row>37</xdr:row>
      <xdr:rowOff>143933</xdr:rowOff>
    </xdr:to>
    <xdr:sp macro="" textlink="">
      <xdr:nvSpPr>
        <xdr:cNvPr id="16" name="Line 37"/>
        <xdr:cNvSpPr>
          <a:spLocks noChangeShapeType="1"/>
        </xdr:cNvSpPr>
      </xdr:nvSpPr>
      <xdr:spPr bwMode="auto">
        <a:xfrm>
          <a:off x="5130800" y="5638800"/>
          <a:ext cx="317501" cy="1439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12</xdr:col>
      <xdr:colOff>25400</xdr:colOff>
      <xdr:row>37</xdr:row>
      <xdr:rowOff>0</xdr:rowOff>
    </xdr:from>
    <xdr:to>
      <xdr:col>12</xdr:col>
      <xdr:colOff>313267</xdr:colOff>
      <xdr:row>37</xdr:row>
      <xdr:rowOff>135467</xdr:rowOff>
    </xdr:to>
    <xdr:sp macro="" textlink="">
      <xdr:nvSpPr>
        <xdr:cNvPr id="17" name="Oval 16"/>
        <xdr:cNvSpPr/>
      </xdr:nvSpPr>
      <xdr:spPr>
        <a:xfrm>
          <a:off x="5477933" y="5638800"/>
          <a:ext cx="287867" cy="135467"/>
        </a:xfrm>
        <a:prstGeom prst="ellipse">
          <a:avLst/>
        </a:prstGeom>
        <a:gradFill flip="none" rotWithShape="1">
          <a:gsLst>
            <a:gs pos="0">
              <a:schemeClr val="dk1">
                <a:tint val="100000"/>
                <a:shade val="100000"/>
                <a:satMod val="130000"/>
                <a:alpha val="0"/>
              </a:schemeClr>
            </a:gs>
            <a:gs pos="100000">
              <a:schemeClr val="dk1">
                <a:tint val="50000"/>
                <a:shade val="100000"/>
                <a:satMod val="350000"/>
                <a:alpha val="0"/>
              </a:schemeClr>
            </a:gs>
          </a:gsLst>
          <a:lin ang="16200000" scaled="0"/>
          <a:tileRect/>
        </a:gradFill>
        <a:ln>
          <a:solidFill>
            <a:schemeClr val="dk1">
              <a:shade val="95000"/>
              <a:satMod val="105000"/>
            </a:schemeClr>
          </a:solidFill>
        </a:ln>
      </xdr:spPr>
      <xdr:style>
        <a:lnRef idx="1">
          <a:schemeClr val="dk1"/>
        </a:lnRef>
        <a:fillRef idx="3">
          <a:schemeClr val="dk1"/>
        </a:fillRef>
        <a:effectRef idx="2">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0</xdr:colOff>
      <xdr:row>26</xdr:row>
      <xdr:rowOff>0</xdr:rowOff>
    </xdr:from>
    <xdr:to>
      <xdr:col>3</xdr:col>
      <xdr:colOff>12701</xdr:colOff>
      <xdr:row>26</xdr:row>
      <xdr:rowOff>143933</xdr:rowOff>
    </xdr:to>
    <xdr:sp macro="" textlink="">
      <xdr:nvSpPr>
        <xdr:cNvPr id="21" name="Line 37"/>
        <xdr:cNvSpPr>
          <a:spLocks noChangeShapeType="1"/>
        </xdr:cNvSpPr>
      </xdr:nvSpPr>
      <xdr:spPr bwMode="auto">
        <a:xfrm>
          <a:off x="609600" y="3962400"/>
          <a:ext cx="317501" cy="1439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3</xdr:col>
      <xdr:colOff>0</xdr:colOff>
      <xdr:row>26</xdr:row>
      <xdr:rowOff>0</xdr:rowOff>
    </xdr:from>
    <xdr:to>
      <xdr:col>4</xdr:col>
      <xdr:colOff>12701</xdr:colOff>
      <xdr:row>26</xdr:row>
      <xdr:rowOff>143933</xdr:rowOff>
    </xdr:to>
    <xdr:sp macro="" textlink="">
      <xdr:nvSpPr>
        <xdr:cNvPr id="22" name="Line 37"/>
        <xdr:cNvSpPr>
          <a:spLocks noChangeShapeType="1"/>
        </xdr:cNvSpPr>
      </xdr:nvSpPr>
      <xdr:spPr bwMode="auto">
        <a:xfrm>
          <a:off x="914400" y="3962400"/>
          <a:ext cx="317501" cy="1439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xdr:txBody>
    </xdr:sp>
    <xdr:clientData/>
  </xdr:twoCellAnchor>
  <xdr:twoCellAnchor>
    <xdr:from>
      <xdr:col>4</xdr:col>
      <xdr:colOff>0</xdr:colOff>
      <xdr:row>26</xdr:row>
      <xdr:rowOff>0</xdr:rowOff>
    </xdr:from>
    <xdr:to>
      <xdr:col>5</xdr:col>
      <xdr:colOff>12701</xdr:colOff>
      <xdr:row>26</xdr:row>
      <xdr:rowOff>143933</xdr:rowOff>
    </xdr:to>
    <xdr:sp macro="" textlink="">
      <xdr:nvSpPr>
        <xdr:cNvPr id="23" name="Line 37"/>
        <xdr:cNvSpPr>
          <a:spLocks noChangeShapeType="1"/>
        </xdr:cNvSpPr>
      </xdr:nvSpPr>
      <xdr:spPr bwMode="auto">
        <a:xfrm>
          <a:off x="1219200" y="3962400"/>
          <a:ext cx="317501" cy="1439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lang="en-US"/>
        </a:p>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tabSelected="1" view="pageLayout" zoomScale="150" workbookViewId="0">
      <selection activeCell="I30" sqref="I30"/>
    </sheetView>
  </sheetViews>
  <sheetFormatPr baseColWidth="10" defaultColWidth="11.1640625" defaultRowHeight="15" x14ac:dyDescent="0"/>
  <cols>
    <col min="1" max="5" width="4" customWidth="1"/>
    <col min="6" max="6" width="1.33203125" customWidth="1"/>
    <col min="7" max="7" width="7.6640625" customWidth="1"/>
    <col min="8" max="8" width="4.83203125" customWidth="1"/>
    <col min="9" max="9" width="27.83203125" customWidth="1"/>
    <col min="10" max="10" width="1.33203125" customWidth="1"/>
    <col min="11" max="15" width="4.1640625" customWidth="1"/>
  </cols>
  <sheetData>
    <row r="1" spans="1:15" ht="12" customHeight="1">
      <c r="A1" s="30" t="s">
        <v>1</v>
      </c>
      <c r="B1" s="31"/>
      <c r="C1" s="31"/>
      <c r="D1" s="31"/>
      <c r="E1" s="32"/>
      <c r="G1" s="33" t="s">
        <v>0</v>
      </c>
      <c r="H1" s="33"/>
      <c r="I1" s="33"/>
      <c r="K1" s="30" t="s">
        <v>10</v>
      </c>
      <c r="L1" s="31"/>
      <c r="M1" s="31"/>
      <c r="N1" s="31"/>
      <c r="O1" s="32"/>
    </row>
    <row r="2" spans="1:15" ht="12" customHeight="1">
      <c r="A2" s="2" t="s">
        <v>2</v>
      </c>
      <c r="B2" s="2" t="s">
        <v>3</v>
      </c>
      <c r="C2" s="2" t="s">
        <v>4</v>
      </c>
      <c r="D2" s="2" t="s">
        <v>3</v>
      </c>
      <c r="E2" s="2" t="s">
        <v>5</v>
      </c>
      <c r="H2">
        <v>2015</v>
      </c>
      <c r="I2" s="1" t="str">
        <f>CONCATENATE("-"," ",(H2-1999))</f>
        <v>- 16</v>
      </c>
      <c r="J2" s="1"/>
      <c r="K2" s="2" t="s">
        <v>2</v>
      </c>
      <c r="L2" s="2" t="s">
        <v>3</v>
      </c>
      <c r="M2" s="2" t="s">
        <v>4</v>
      </c>
      <c r="N2" s="2" t="s">
        <v>3</v>
      </c>
      <c r="O2" s="2" t="s">
        <v>5</v>
      </c>
    </row>
    <row r="3" spans="1:15" ht="12" customHeight="1">
      <c r="A3" s="3" t="str">
        <f>IF(AND(YEAR(SepSun1+1)=$H$2,MONTH(SepSun1+1)=9),SepSun1+1, "")</f>
        <v/>
      </c>
      <c r="B3" s="13">
        <f>IF(AND(YEAR(SepSun1+2)=$H$2,MONTH(SepSun1+2)=9),SepSun1+2, "")</f>
        <v>42248</v>
      </c>
      <c r="C3" s="3">
        <f>IF(AND(YEAR(SepSun1+3)=$H$2,MONTH(SepSun1+3)=9),SepSun1+3, "")</f>
        <v>42249</v>
      </c>
      <c r="D3" s="3">
        <f>IF(AND(YEAR(SepSun1+4)=$H$2,MONTH(SepSun1+4)=9),SepSun1+4, "")</f>
        <v>42250</v>
      </c>
      <c r="E3" s="13">
        <f>IF(AND(YEAR(SepSun1+5)=$H$2,MONTH(SepSun1+5)=9),SepSun1+5, "")</f>
        <v>42251</v>
      </c>
      <c r="G3" s="9" t="s">
        <v>1</v>
      </c>
      <c r="H3" s="34">
        <v>2</v>
      </c>
      <c r="I3" s="35" t="s">
        <v>19</v>
      </c>
      <c r="K3" s="3">
        <f>IF(AND(YEAR(FebSun1+1)=$H$2+1,MONTH(FebSun1+1)=2),FebSun1+1, "")</f>
        <v>42401</v>
      </c>
      <c r="L3" s="3">
        <f>IF(AND(YEAR(FebSun1+2)=$H$2+1,MONTH(FebSun1+2)=2),FebSun1+2, "")</f>
        <v>42402</v>
      </c>
      <c r="M3" s="3">
        <f>IF(AND(YEAR(FebSun1+3)=$H$2+1,MONTH(FebSun1+3)=2),FebSun1+3, "")</f>
        <v>42403</v>
      </c>
      <c r="N3" s="3">
        <f>IF(AND(YEAR(FebSun1+4)=$H$2+1,MONTH(FebSun1+4)=2),FebSun1+4, "")</f>
        <v>42404</v>
      </c>
      <c r="O3" s="3">
        <f>IF(AND(YEAR(FebSun1+5)=$H$2+1,MONTH(FebSun1+5)=2),FebSun1+5, "")</f>
        <v>42405</v>
      </c>
    </row>
    <row r="4" spans="1:15" ht="12" customHeight="1">
      <c r="A4" s="13">
        <f>IF(AND(YEAR(SepSun1+8)=$H$2,MONTH(SepSun1+8)=9),SepSun1+8, "")</f>
        <v>42254</v>
      </c>
      <c r="B4" s="3">
        <f>IF(AND(YEAR(SepSun1+9)=$H$2,MONTH(SepSun1+9)=9),SepSun1+9, "")</f>
        <v>42255</v>
      </c>
      <c r="C4" s="3">
        <f>IF(AND(YEAR(SepSun1+10)=$H$2,MONTH(SepSun1+10)=9),SepSun1+10, "")</f>
        <v>42256</v>
      </c>
      <c r="D4" s="3">
        <f>IF(AND(YEAR(SepSun1+11)=$H$2,MONTH(SepSun1+11)=9),SepSun1+11, "")</f>
        <v>42257</v>
      </c>
      <c r="E4" s="3">
        <f>IF(AND(YEAR(SepSun1+12)=$H$2,MONTH(SepSun1+12)=9),SepSun1+12, "")</f>
        <v>42258</v>
      </c>
      <c r="G4" s="10" t="s">
        <v>23</v>
      </c>
      <c r="H4" s="16">
        <v>3</v>
      </c>
      <c r="I4" s="36" t="s">
        <v>19</v>
      </c>
      <c r="K4" s="3">
        <f>IF(AND(YEAR(FebSun1+8)=$H$2+1,MONTH(FebSun1+8)=2),FebSun1+8, "")</f>
        <v>42408</v>
      </c>
      <c r="L4" s="3">
        <f>IF(AND(YEAR(FebSun1+9)=$H$2+1,MONTH(FebSun1+9)=2),FebSun1+9, "")</f>
        <v>42409</v>
      </c>
      <c r="M4" s="3">
        <f>IF(AND(YEAR(FebSun1+10)=$H$2+1,MONTH(FebSun1+10)=2),FebSun1+10, "")</f>
        <v>42410</v>
      </c>
      <c r="N4" s="3">
        <f>IF(AND(YEAR(FebSun1+11)=$H$2+1,MONTH(FebSun1+11)=2),FebSun1+11, "")</f>
        <v>42411</v>
      </c>
      <c r="O4" s="3">
        <f>IF(AND(YEAR(FebSun1+12)=$H$2+1,MONTH(FebSun1+12)=2),FebSun1+12, "")</f>
        <v>42412</v>
      </c>
    </row>
    <row r="5" spans="1:15" ht="12" customHeight="1">
      <c r="A5" s="13">
        <f>IF(AND(YEAR(SepSun1+15)=$H$2,MONTH(SepSun1+15)=9),SepSun1+15, "")</f>
        <v>42261</v>
      </c>
      <c r="B5" s="3">
        <f>IF(AND(YEAR(SepSun1+16)=$H$2,MONTH(SepSun1+16)=9),SepSun1+16, "")</f>
        <v>42262</v>
      </c>
      <c r="C5" s="3">
        <f>IF(AND(YEAR(SepSun1+17)=$H$2,MONTH(SepSun1+17)=9),SepSun1+17, "")</f>
        <v>42263</v>
      </c>
      <c r="D5" s="3">
        <f>IF(AND(YEAR(SepSun1+18)=$H$2,MONTH(SepSun1+18)=9),SepSun1+18, "")</f>
        <v>42264</v>
      </c>
      <c r="E5" s="3">
        <f>IF(AND(YEAR(SepSun1+19)=$H$2,MONTH(SepSun1+19)=9),SepSun1+19, "")</f>
        <v>42265</v>
      </c>
      <c r="G5" s="11"/>
      <c r="H5" s="16">
        <v>4</v>
      </c>
      <c r="I5" s="36" t="s">
        <v>20</v>
      </c>
      <c r="K5" s="13">
        <f>IF(AND(YEAR(FebSun1+15)=$H$2+1,MONTH(FebSun1+15)=2),FebSun1+15, "")</f>
        <v>42415</v>
      </c>
      <c r="L5" s="13">
        <f>IF(AND(YEAR(FebSun1+16)=$H$2+1,MONTH(FebSun1+16)=2),FebSun1+16, "")</f>
        <v>42416</v>
      </c>
      <c r="M5" s="3">
        <f>IF(AND(YEAR(FebSun1+17)=$H$2+1,MONTH(FebSun1+17)=2),FebSun1+17, "")</f>
        <v>42417</v>
      </c>
      <c r="N5" s="3">
        <f>IF(AND(YEAR(FebSun1+18)=$H$2+1,MONTH(FebSun1+18)=2),FebSun1+18, "")</f>
        <v>42418</v>
      </c>
      <c r="O5" s="3">
        <f>IF(AND(YEAR(FebSun1+19)=$H$2+1,MONTH(FebSun1+19)=2),FebSun1+19, "")</f>
        <v>42419</v>
      </c>
    </row>
    <row r="6" spans="1:15" ht="12" customHeight="1">
      <c r="A6" s="3">
        <f>IF(AND(YEAR(SepSun1+22)=$H$2,MONTH(SepSun1+22)=9),SepSun1+22, "")</f>
        <v>42268</v>
      </c>
      <c r="B6" s="3">
        <f>IF(AND(YEAR(SepSun1+23)=$H$2,MONTH(SepSun1+23)=9),SepSun1+23, "")</f>
        <v>42269</v>
      </c>
      <c r="C6" s="13">
        <f>IF(AND(YEAR(SepSun1+24)=$H$2,MONTH(SepSun1+24)=9),SepSun1+24, "")</f>
        <v>42270</v>
      </c>
      <c r="D6" s="3">
        <f>IF(AND(YEAR(SepSun1+25)=$H$2,MONTH(SepSun1+25)=9),SepSun1+25, "")</f>
        <v>42271</v>
      </c>
      <c r="E6" s="3">
        <f>IF(AND(YEAR(SepSun1+26)=$H$2,MONTH(SepSun1+26)=9),SepSun1+26, "")</f>
        <v>42272</v>
      </c>
      <c r="G6" s="11"/>
      <c r="H6" s="16">
        <v>7</v>
      </c>
      <c r="I6" s="36" t="s">
        <v>35</v>
      </c>
      <c r="K6" s="3">
        <f>IF(AND(YEAR(FebSun1+22)=$H$2+1,MONTH(FebSun1+22)=2),FebSun1+22, "")</f>
        <v>42422</v>
      </c>
      <c r="L6" s="3">
        <f>IF(AND(YEAR(FebSun1+23)=$H$2+1,MONTH(FebSun1+23)=2),FebSun1+23, "")</f>
        <v>42423</v>
      </c>
      <c r="M6" s="3">
        <f>IF(AND(YEAR(FebSun1+24)=$H$2+1,MONTH(FebSun1+24)=2),FebSun1+24, "")</f>
        <v>42424</v>
      </c>
      <c r="N6" s="3">
        <f>IF(AND(YEAR(FebSun1+25)=$H$2+1,MONTH(FebSun1+25)=2),FebSun1+25, "")</f>
        <v>42425</v>
      </c>
      <c r="O6" s="3">
        <f>IF(AND(YEAR(FebSun1+26)=$H$2+1,MONTH(FebSun1+26)=2),FebSun1+26, "")</f>
        <v>42426</v>
      </c>
    </row>
    <row r="7" spans="1:15" ht="12" customHeight="1">
      <c r="A7" s="3">
        <f>IF(AND(YEAR(SepSun1+29)=$H$2,MONTH(SepSun1+29)=9),SepSun1+29, "")</f>
        <v>42275</v>
      </c>
      <c r="B7" s="3">
        <f>IF(AND(YEAR(SepSun1+30)=$H$2,MONTH(SepSun1+30)=9),SepSun1+30, "")</f>
        <v>42276</v>
      </c>
      <c r="C7" s="3">
        <f>IF(AND(YEAR(SepSun1+31)=$H$2,MONTH(SepSun1+31)=9),SepSun1+31, "")</f>
        <v>42277</v>
      </c>
      <c r="D7" s="3" t="str">
        <f>IF(AND(YEAR(SepSun1+32)=$H$2,MONTH(SepSun1+32)=9),SepSun1+32, "")</f>
        <v/>
      </c>
      <c r="E7" s="3" t="str">
        <f>IF(AND(YEAR(SepSun1+33)=$H$2,MONTH(SepSun1+33)=9),SepSun1+33, "")</f>
        <v/>
      </c>
      <c r="G7" s="11"/>
      <c r="H7" s="16">
        <v>8</v>
      </c>
      <c r="I7" s="36" t="s">
        <v>21</v>
      </c>
      <c r="K7" s="3">
        <f>IF(AND(YEAR(FebSun1+29)=$H$2+1,MONTH(FebSun1+29)=2),FebSun1+29, "")</f>
        <v>42429</v>
      </c>
      <c r="L7" s="3" t="str">
        <f>IF(AND(YEAR(FebSun1+30)=$H$2+1,MONTH(FebSun1+30)=2),FebSun1+30, "")</f>
        <v/>
      </c>
      <c r="M7" s="3" t="str">
        <f>IF(AND(YEAR(FebSun1+31)=$H$2+1,MONTH(FebSun1+31)=2),FebSun1+31, "")</f>
        <v/>
      </c>
      <c r="N7" s="3" t="str">
        <f>IF(AND(YEAR(FebSun1+32)=$H$2+1,MONTH(FebSun1+32)=2),FebSun1+32, "")</f>
        <v/>
      </c>
      <c r="O7" s="3" t="str">
        <f>IF(AND(YEAR(FebSun1+33)=$H$2+1,MONTH(FebSun1+33)=2),FebSun1+33, "")</f>
        <v/>
      </c>
    </row>
    <row r="8" spans="1:15" ht="12" customHeight="1">
      <c r="A8" s="3" t="str">
        <f>IF(AND(YEAR(SepSun1+36)=$H$2,MONTH(SepSun1+36)=9),SepSun1+36, "")</f>
        <v/>
      </c>
      <c r="B8" s="3" t="str">
        <f>IF(AND(YEAR(SepSun1+37)=$H$2,MONTH(SepSun1+37)=9),SepSun1+37, "")</f>
        <v/>
      </c>
      <c r="C8" s="3" t="str">
        <f>IF(AND(YEAR(SepSun1+38)=$H$2,MONTH(SepSun1+38)=9),SepSun1+38, "")</f>
        <v/>
      </c>
      <c r="D8" s="3" t="str">
        <f>IF(AND(YEAR(SepSun1+39)=$H$2,MONTH(SepSun1+39)=9),SepSun1+39, "")</f>
        <v/>
      </c>
      <c r="E8" s="3" t="str">
        <f>IF(AND(YEAR(SepSun1+40)=$H$2,MONTH(SepSun1+40)=9),SepSun1+40, "")</f>
        <v/>
      </c>
      <c r="G8" s="11"/>
      <c r="H8" s="16">
        <v>14</v>
      </c>
      <c r="I8" s="36" t="s">
        <v>33</v>
      </c>
      <c r="K8" s="4" t="str">
        <f>IF(AND(YEAR(FebSun1+36)=$H$2+1,MONTH(FebSun1+36)=2),FebSun1+36, "")</f>
        <v/>
      </c>
      <c r="L8" s="4" t="str">
        <f>IF(AND(YEAR(FebSun1+37)=$H$2+1,MONTH(FebSun1+37)=2),FebSun1+37, "")</f>
        <v/>
      </c>
      <c r="M8" s="4" t="str">
        <f>IF(AND(YEAR(FebSun1+38)=$H$2+1,MONTH(FebSun1+38)=2),FebSun1+38, "")</f>
        <v/>
      </c>
      <c r="N8" s="4" t="str">
        <f>IF(AND(YEAR(FebSun1+39)=$H$2+1,MONTH(FebSun1+39)=2),FebSun1+39, "")</f>
        <v/>
      </c>
      <c r="O8" s="4" t="str">
        <f>IF(AND(YEAR(FebSun1+40)=$H$2+1,MONTH(FebSun1+40)=2),FebSun1+40, "")</f>
        <v/>
      </c>
    </row>
    <row r="9" spans="1:15" ht="12" customHeight="1">
      <c r="A9" s="30" t="s">
        <v>6</v>
      </c>
      <c r="B9" s="31"/>
      <c r="C9" s="31"/>
      <c r="D9" s="31"/>
      <c r="E9" s="32"/>
      <c r="G9" s="11"/>
      <c r="H9" s="16">
        <v>23</v>
      </c>
      <c r="I9" s="36" t="s">
        <v>34</v>
      </c>
      <c r="K9" s="30" t="s">
        <v>11</v>
      </c>
      <c r="L9" s="31"/>
      <c r="M9" s="31"/>
      <c r="N9" s="31"/>
      <c r="O9" s="32"/>
    </row>
    <row r="10" spans="1:15" ht="12" customHeight="1">
      <c r="A10" s="2" t="s">
        <v>2</v>
      </c>
      <c r="B10" s="2" t="s">
        <v>3</v>
      </c>
      <c r="C10" s="2" t="s">
        <v>4</v>
      </c>
      <c r="D10" s="2" t="s">
        <v>3</v>
      </c>
      <c r="E10" s="2" t="s">
        <v>5</v>
      </c>
      <c r="G10" s="11" t="s">
        <v>6</v>
      </c>
      <c r="H10" s="49">
        <v>30</v>
      </c>
      <c r="I10" s="36" t="s">
        <v>22</v>
      </c>
      <c r="K10" s="2" t="s">
        <v>2</v>
      </c>
      <c r="L10" s="2" t="s">
        <v>3</v>
      </c>
      <c r="M10" s="2" t="s">
        <v>4</v>
      </c>
      <c r="N10" s="2" t="s">
        <v>3</v>
      </c>
      <c r="O10" s="2" t="s">
        <v>5</v>
      </c>
    </row>
    <row r="11" spans="1:15" ht="12" customHeight="1">
      <c r="A11" s="3" t="str">
        <f>IF(AND(YEAR(OctSun1+1)=$H$2,MONTH(OctSun1+1)=10),OctSun1+1, "")</f>
        <v/>
      </c>
      <c r="B11" s="3" t="str">
        <f>IF(AND(YEAR(OctSun1+2)=$H$2,MONTH(OctSun1+2)=10),OctSun1+2, "")</f>
        <v/>
      </c>
      <c r="C11" s="3" t="str">
        <f>IF(AND(YEAR(OctSun1+3)=$H$2,MONTH(OctSun1+3)=10),OctSun1+3, "")</f>
        <v/>
      </c>
      <c r="D11" s="3">
        <f>IF(AND(YEAR(OctSun1+4)=$H$2,MONTH(OctSun1+4)=10),OctSun1+4, "")</f>
        <v>42278</v>
      </c>
      <c r="E11" s="3">
        <f>IF(AND(YEAR(OctSun1+5)=$H$2,MONTH(OctSun1+5)=10),OctSun1+5, "")</f>
        <v>42279</v>
      </c>
      <c r="G11" s="11" t="s">
        <v>24</v>
      </c>
      <c r="H11" s="16"/>
      <c r="I11" s="36"/>
      <c r="K11" s="3" t="str">
        <f>IF(AND(YEAR(MarSun1+1)=$H$2+1,MONTH(MarSun1+1)=3),MarSun1+1, "")</f>
        <v/>
      </c>
      <c r="L11" s="3">
        <f>IF(AND(YEAR(MarSun1+2)=$H$2+1,MONTH(MarSun1+2)=3),MarSun1+2, "")</f>
        <v>42430</v>
      </c>
      <c r="M11" s="3">
        <f>IF(AND(YEAR(MarSun1+3)=$H$2+1,MONTH(MarSun1+3)=3),MarSun1+3, "")</f>
        <v>42431</v>
      </c>
      <c r="N11" s="3">
        <f>IF(AND(YEAR(MarSun1+4)=$H$2+1,MONTH(MarSun1+4)=3),MarSun1+4, "")</f>
        <v>42432</v>
      </c>
      <c r="O11" s="3">
        <f>IF(AND(YEAR(MarSun1+5)=$H$2+1,MONTH(MarSun1+5)=3),MarSun1+5, "")</f>
        <v>42433</v>
      </c>
    </row>
    <row r="12" spans="1:15" ht="12" customHeight="1">
      <c r="A12" s="3">
        <f>IF(AND(YEAR(OctSun1+8)=$H$2,MONTH(OctSun1+8)=10),OctSun1+8, "")</f>
        <v>42282</v>
      </c>
      <c r="B12" s="3">
        <f>IF(AND(YEAR(OctSun1+9)=$H$2,MONTH(OctSun1+9)=10),OctSun1+9, "")</f>
        <v>42283</v>
      </c>
      <c r="C12" s="3">
        <f>IF(AND(YEAR(OctSun1+10)=$H$2,MONTH(OctSun1+10)=10),OctSun1+10, "")</f>
        <v>42284</v>
      </c>
      <c r="D12" s="3">
        <f>IF(AND(YEAR(OctSun1+11)=$H$2,MONTH(OctSun1+11)=10),OctSun1+11, "")</f>
        <v>42285</v>
      </c>
      <c r="E12" s="3">
        <f>IF(AND(YEAR(OctSun1+12)=$H$2,MONTH(OctSun1+12)=10),OctSun1+12, "")</f>
        <v>42286</v>
      </c>
      <c r="G12" s="45"/>
      <c r="H12" s="46"/>
      <c r="I12" s="47"/>
      <c r="K12" s="3">
        <f>IF(AND(YEAR(MarSun1+8)=$H$2+1,MONTH(MarSun1+8)=3),MarSun1+8, "")</f>
        <v>42436</v>
      </c>
      <c r="L12" s="3">
        <f>IF(AND(YEAR(MarSun1+9)=$H$2+1,MONTH(MarSun1+9)=3),MarSun1+9, "")</f>
        <v>42437</v>
      </c>
      <c r="M12" s="3">
        <f>IF(AND(YEAR(MarSun1+10)=$H$2+1,MONTH(MarSun1+10)=3),MarSun1+10, "")</f>
        <v>42438</v>
      </c>
      <c r="N12" s="3">
        <f>IF(AND(YEAR(MarSun1+11)=$H$2+1,MONTH(MarSun1+11)=3),MarSun1+11, "")</f>
        <v>42439</v>
      </c>
      <c r="O12" s="3">
        <f>IF(AND(YEAR(MarSun1+12)=$H$2+1,MONTH(MarSun1+12)=3),MarSun1+12, "")</f>
        <v>42440</v>
      </c>
    </row>
    <row r="13" spans="1:15" ht="12" customHeight="1">
      <c r="A13" s="3">
        <f>IF(AND(YEAR(OctSun1+15)=$H$2,MONTH(OctSun1+15)=10),OctSun1+15, "")</f>
        <v>42289</v>
      </c>
      <c r="B13" s="3">
        <f>IF(AND(YEAR(OctSun1+16)=$H$2,MONTH(OctSun1+16)=10),OctSun1+16, "")</f>
        <v>42290</v>
      </c>
      <c r="C13" s="3">
        <f>IF(AND(YEAR(OctSun1+17)=$H$2,MONTH(OctSun1+17)=10),OctSun1+17, "")</f>
        <v>42291</v>
      </c>
      <c r="D13" s="3">
        <f>IF(AND(YEAR(OctSun1+18)=$H$2,MONTH(OctSun1+18)=10),OctSun1+18, "")</f>
        <v>42292</v>
      </c>
      <c r="E13" s="3">
        <f>IF(AND(YEAR(OctSun1+19)=$H$2,MONTH(OctSun1+19)=10),OctSun1+19, "")</f>
        <v>42293</v>
      </c>
      <c r="G13" s="37" t="s">
        <v>8</v>
      </c>
      <c r="H13" s="16" t="s">
        <v>25</v>
      </c>
      <c r="I13" s="36" t="s">
        <v>30</v>
      </c>
      <c r="K13" s="3">
        <f>IF(AND(YEAR(MarSun1+15)=$H$2+1,MONTH(MarSun1+15)=3),MarSun1+15, "")</f>
        <v>42443</v>
      </c>
      <c r="L13" s="3">
        <f>IF(AND(YEAR(MarSun1+16)=$H$2+1,MONTH(MarSun1+16)=3),MarSun1+16, "")</f>
        <v>42444</v>
      </c>
      <c r="M13" s="3">
        <f>IF(AND(YEAR(MarSun1+17)=$H$2+1,MONTH(MarSun1+17)=3),MarSun1+17, "")</f>
        <v>42445</v>
      </c>
      <c r="N13" s="3">
        <f>IF(AND(YEAR(MarSun1+18)=$H$2+1,MONTH(MarSun1+18)=3),MarSun1+18, "")</f>
        <v>42446</v>
      </c>
      <c r="O13" s="3">
        <f>IF(AND(YEAR(MarSun1+19)=$H$2+1,MONTH(MarSun1+19)=3),MarSun1+19, "")</f>
        <v>42447</v>
      </c>
    </row>
    <row r="14" spans="1:15" ht="12" customHeight="1">
      <c r="A14" s="3">
        <f>IF(AND(YEAR(OctSun1+22)=$H$2,MONTH(OctSun1+22)=10),OctSun1+22, "")</f>
        <v>42296</v>
      </c>
      <c r="B14" s="3">
        <f>IF(AND(YEAR(OctSun1+23)=$H$2,MONTH(OctSun1+23)=10),OctSun1+23, "")</f>
        <v>42297</v>
      </c>
      <c r="C14" s="3">
        <f>IF(AND(YEAR(OctSun1+24)=$H$2,MONTH(OctSun1+24)=10),OctSun1+24, "")</f>
        <v>42298</v>
      </c>
      <c r="D14" s="3">
        <f>IF(AND(YEAR(OctSun1+25)=$H$2,MONTH(OctSun1+25)=10),OctSun1+25, "")</f>
        <v>42299</v>
      </c>
      <c r="E14" s="3">
        <f>IF(AND(YEAR(OctSun1+26)=$H$2,MONTH(OctSun1+26)=10),OctSun1+26, "")</f>
        <v>42300</v>
      </c>
      <c r="G14" s="11" t="s">
        <v>27</v>
      </c>
      <c r="H14" s="49">
        <v>25</v>
      </c>
      <c r="I14" s="36" t="s">
        <v>36</v>
      </c>
      <c r="K14" s="3">
        <f>IF(AND(YEAR(MarSun1+22)=$H$2+1,MONTH(MarSun1+22)=3),MarSun1+22, "")</f>
        <v>42450</v>
      </c>
      <c r="L14" s="3">
        <f>IF(AND(YEAR(MarSun1+23)=$H$2+1,MONTH(MarSun1+23)=3),MarSun1+23, "")</f>
        <v>42451</v>
      </c>
      <c r="M14" s="3">
        <f>IF(AND(YEAR(MarSun1+24)=$H$2+1,MONTH(MarSun1+24)=3),MarSun1+24, "")</f>
        <v>42452</v>
      </c>
      <c r="N14" s="3">
        <f>IF(AND(YEAR(MarSun1+25)=$H$2+1,MONTH(MarSun1+25)=3),MarSun1+25, "")</f>
        <v>42453</v>
      </c>
      <c r="O14" s="13">
        <f>IF(AND(YEAR(MarSun1+26)=$H$2+1,MONTH(MarSun1+26)=3),MarSun1+26, "")</f>
        <v>42454</v>
      </c>
    </row>
    <row r="15" spans="1:15" ht="12" customHeight="1">
      <c r="A15" s="3">
        <f>IF(AND(YEAR(OctSun1+29)=$H$2,MONTH(OctSun1+29)=10),OctSun1+29, "")</f>
        <v>42303</v>
      </c>
      <c r="B15" s="3">
        <f>IF(AND(YEAR(OctSun1+30)=$H$2,MONTH(OctSun1+30)=10),OctSun1+30, "")</f>
        <v>42304</v>
      </c>
      <c r="C15" s="3">
        <f>IF(AND(YEAR(OctSun1+31)=$H$2,MONTH(OctSun1+31)=10),OctSun1+31, "")</f>
        <v>42305</v>
      </c>
      <c r="D15" s="3">
        <f>IF(AND(YEAR(OctSun1+32)=$H$2,MONTH(OctSun1+32)=10),OctSun1+32, "")</f>
        <v>42306</v>
      </c>
      <c r="E15" s="3">
        <f>IF(AND(YEAR(OctSun1+33)=$H$2,MONTH(OctSun1+33)=10),OctSun1+33, "")</f>
        <v>42307</v>
      </c>
      <c r="G15" s="11"/>
      <c r="H15" s="16" t="s">
        <v>26</v>
      </c>
      <c r="I15" s="36" t="s">
        <v>32</v>
      </c>
      <c r="K15" s="15">
        <f>IF(AND(YEAR(MarSun1+29)=$H$2+1,MONTH(MarSun1+29)=3),MarSun1+29, "")</f>
        <v>42457</v>
      </c>
      <c r="L15" s="15">
        <f>IF(AND(YEAR(MarSun1+30)=$H$2+1,MONTH(MarSun1+30)=3),MarSun1+30, "")</f>
        <v>42458</v>
      </c>
      <c r="M15" s="15">
        <f>IF(AND(YEAR(MarSun1+31)=$H$2+1,MONTH(MarSun1+31)=3),MarSun1+31, "")</f>
        <v>42459</v>
      </c>
      <c r="N15" s="15">
        <f>IF(AND(YEAR(MarSun1+32)=$H$2+1,MONTH(MarSun1+32)=3),MarSun1+32, "")</f>
        <v>42460</v>
      </c>
      <c r="O15" s="3" t="str">
        <f>IF(AND(YEAR(MarSun1+33)=$H$2+1,MONTH(MarSun1+33)=3),MarSun1+33, "")</f>
        <v/>
      </c>
    </row>
    <row r="16" spans="1:15" ht="12" customHeight="1">
      <c r="A16" s="4" t="str">
        <f>IF(AND(YEAR(OctSun1+36)=$H$2,MONTH(OctSun1+36)=10),OctSun1+36, "")</f>
        <v/>
      </c>
      <c r="B16" s="4" t="str">
        <f>IF(AND(YEAR(OctSun1+37)=$H$2,MONTH(OctSun1+37)=10),OctSun1+37, "")</f>
        <v/>
      </c>
      <c r="C16" s="4" t="str">
        <f>IF(AND(YEAR(OctSun1+38)=$H$2,MONTH(OctSun1+38)=10),OctSun1+38, "")</f>
        <v/>
      </c>
      <c r="D16" s="4" t="str">
        <f>IF(AND(YEAR(OctSun1+39)=$H$2,MONTH(OctSun1+39)=10),OctSun1+39, "")</f>
        <v/>
      </c>
      <c r="E16" s="4" t="str">
        <f>IF(AND(YEAR(OctSun1+40)=$H$2,MONTH(OctSun1+40)=10),OctSun1+40, "")</f>
        <v/>
      </c>
      <c r="G16" s="11" t="s">
        <v>9</v>
      </c>
      <c r="H16" s="38" t="s">
        <v>56</v>
      </c>
      <c r="I16" s="39" t="s">
        <v>54</v>
      </c>
      <c r="K16" s="3" t="str">
        <f>IF(AND(YEAR(MarSun1+36)=$H$2+1,MONTH(MarSun1+36)=3),MarSun1+36, "")</f>
        <v/>
      </c>
      <c r="L16" s="3" t="str">
        <f>IF(AND(YEAR(MarSun1+37)=$H$2+1,MONTH(MarSun1+37)=3),MarSun1+37, "")</f>
        <v/>
      </c>
      <c r="M16" s="3" t="str">
        <f>IF(AND(YEAR(MarSun1+38)=$H$2+1,MONTH(MarSun1+38)=3),MarSun1+38, "")</f>
        <v/>
      </c>
      <c r="N16" s="3" t="str">
        <f>IF(AND(YEAR(MarSun1+39)=$H$2+1,MONTH(MarSun1+39)=3),MarSun1+39, "")</f>
        <v/>
      </c>
      <c r="O16" s="3" t="str">
        <f>IF(AND(YEAR(MarSun1+40)=$H$2+1,MONTH(MarSun1+40)=3),MarSun1+40, "")</f>
        <v/>
      </c>
    </row>
    <row r="17" spans="1:15" ht="12" customHeight="1">
      <c r="A17" s="30" t="s">
        <v>8</v>
      </c>
      <c r="B17" s="31"/>
      <c r="C17" s="31"/>
      <c r="D17" s="31"/>
      <c r="E17" s="32"/>
      <c r="G17" s="11" t="s">
        <v>27</v>
      </c>
      <c r="H17" s="16">
        <v>23</v>
      </c>
      <c r="I17" s="36" t="s">
        <v>36</v>
      </c>
      <c r="K17" s="30" t="s">
        <v>12</v>
      </c>
      <c r="L17" s="31"/>
      <c r="M17" s="31"/>
      <c r="N17" s="31"/>
      <c r="O17" s="32"/>
    </row>
    <row r="18" spans="1:15" ht="12" customHeight="1">
      <c r="A18" s="2" t="s">
        <v>2</v>
      </c>
      <c r="B18" s="2" t="s">
        <v>3</v>
      </c>
      <c r="C18" s="2" t="s">
        <v>4</v>
      </c>
      <c r="D18" s="2" t="s">
        <v>3</v>
      </c>
      <c r="E18" s="2" t="s">
        <v>5</v>
      </c>
      <c r="G18" s="45"/>
      <c r="H18" s="16" t="s">
        <v>28</v>
      </c>
      <c r="I18" s="36" t="s">
        <v>29</v>
      </c>
      <c r="K18" s="2" t="s">
        <v>2</v>
      </c>
      <c r="L18" s="2" t="s">
        <v>3</v>
      </c>
      <c r="M18" s="2" t="s">
        <v>4</v>
      </c>
      <c r="N18" s="2" t="s">
        <v>3</v>
      </c>
      <c r="O18" s="2" t="s">
        <v>5</v>
      </c>
    </row>
    <row r="19" spans="1:15" ht="12" customHeight="1">
      <c r="A19" s="3">
        <f>IF(AND(YEAR(NovSun1+1)=$H$2,MONTH(NovSun1+1)=11),NovSun1+1, "")</f>
        <v>42310</v>
      </c>
      <c r="B19" s="3">
        <f>IF(AND(YEAR(NovSun1+2)=$H$2,MONTH(NovSun1+2)=11),NovSun1+2, "")</f>
        <v>42311</v>
      </c>
      <c r="C19" s="3">
        <f>IF(AND(YEAR(NovSun1+3)=$H$2,MONTH(NovSun1+3)=11),NovSun1+3, "")</f>
        <v>42312</v>
      </c>
      <c r="D19" s="13">
        <f>IF(AND(YEAR(NovSun1+4)=$H$2,MONTH(NovSun1+4)=11),NovSun1+4, "")</f>
        <v>42313</v>
      </c>
      <c r="E19" s="13">
        <f>IF(AND(YEAR(NovSun1+5)=$H$2,MONTH(NovSun1+5)=11),NovSun1+5, "")</f>
        <v>42314</v>
      </c>
      <c r="G19" s="11" t="s">
        <v>7</v>
      </c>
      <c r="H19" s="16">
        <v>1</v>
      </c>
      <c r="I19" s="36" t="s">
        <v>31</v>
      </c>
      <c r="K19" s="3" t="str">
        <f>IF(AND(YEAR(AprSun1+1)=$H$2+1,MONTH(AprSun1+1)=4),AprSun1+1, "")</f>
        <v/>
      </c>
      <c r="L19" s="3" t="str">
        <f>IF(AND(YEAR(AprSun1+2)=$H$2+1,MONTH(AprSun1+2)=4),AprSun1+2, "")</f>
        <v/>
      </c>
      <c r="M19" s="3" t="str">
        <f>IF(AND(YEAR(AprSun1+3)=$H$2+1,MONTH(AprSun1+3)=4),AprSun1+3, "")</f>
        <v/>
      </c>
      <c r="N19" s="3" t="str">
        <f>IF(AND(YEAR(AprSun1+4)=$H$2+1,MONTH(AprSun1+4)=4),AprSun1+4, "")</f>
        <v/>
      </c>
      <c r="O19" s="15">
        <f>IF(AND(YEAR(AprSun1+5)=$H$2+1,MONTH(AprSun1+5)=4),AprSun1+5, "")</f>
        <v>42461</v>
      </c>
    </row>
    <row r="20" spans="1:15" ht="12" customHeight="1">
      <c r="A20" s="3">
        <f>IF(AND(YEAR(NovSun1+8)=$H$2,MONTH(NovSun1+8)=11),NovSun1+8, "")</f>
        <v>42317</v>
      </c>
      <c r="B20" s="3">
        <f>IF(AND(YEAR(NovSun1+9)=$H$2,MONTH(NovSun1+9)=11),NovSun1+9, "")</f>
        <v>42318</v>
      </c>
      <c r="C20" s="3">
        <f>IF(AND(YEAR(NovSun1+10)=$H$2,MONTH(NovSun1+10)=11),NovSun1+10, "")</f>
        <v>42319</v>
      </c>
      <c r="D20" s="3">
        <f>IF(AND(YEAR(NovSun1+11)=$H$2,MONTH(NovSun1+11)=11),NovSun1+11, "")</f>
        <v>42320</v>
      </c>
      <c r="E20" s="3">
        <f>IF(AND(YEAR(NovSun1+12)=$H$2,MONTH(NovSun1+12)=11),NovSun1+12, "")</f>
        <v>42321</v>
      </c>
      <c r="G20" s="11" t="s">
        <v>39</v>
      </c>
      <c r="H20" s="16">
        <v>18</v>
      </c>
      <c r="I20" s="36" t="s">
        <v>37</v>
      </c>
      <c r="K20" s="17">
        <f>IF(AND(YEAR(AprSun1+8)=$H$2+1,MONTH(AprSun1+8)=4),AprSun1+8, "")</f>
        <v>42464</v>
      </c>
      <c r="L20" s="17">
        <f>IF(AND(YEAR(AprSun1+9)=$H$2+1,MONTH(AprSun1+9)=4),AprSun1+9, "")</f>
        <v>42465</v>
      </c>
      <c r="M20" s="17">
        <f>IF(AND(YEAR(AprSun1+10)=$H$2+1,MONTH(AprSun1+10)=4),AprSun1+10, "")</f>
        <v>42466</v>
      </c>
      <c r="N20" s="17">
        <f>IF(AND(YEAR(AprSun1+11)=$H$2+1,MONTH(AprSun1+11)=4),AprSun1+11, "")</f>
        <v>42467</v>
      </c>
      <c r="O20" s="17">
        <f>IF(AND(YEAR(AprSun1+12)=$H$2+1,MONTH(AprSun1+12)=4),AprSun1+12, "")</f>
        <v>42468</v>
      </c>
    </row>
    <row r="21" spans="1:15" ht="12" customHeight="1">
      <c r="A21" s="3">
        <f>IF(AND(YEAR(NovSun1+15)=$H$2,MONTH(NovSun1+15)=11),NovSun1+15, "")</f>
        <v>42324</v>
      </c>
      <c r="B21" s="3">
        <f>IF(AND(YEAR(NovSun1+16)=$H$2,MONTH(NovSun1+16)=11),NovSun1+16, "")</f>
        <v>42325</v>
      </c>
      <c r="C21" s="3">
        <f>IF(AND(YEAR(NovSun1+17)=$H$2,MONTH(NovSun1+17)=11),NovSun1+17, "")</f>
        <v>42326</v>
      </c>
      <c r="D21" s="3">
        <f>IF(AND(YEAR(NovSun1+18)=$H$2,MONTH(NovSun1+18)=11),NovSun1+18, "")</f>
        <v>42327</v>
      </c>
      <c r="E21" s="3">
        <f>IF(AND(YEAR(NovSun1+19)=$H$2,MONTH(NovSun1+19)=11),NovSun1+19, "")</f>
        <v>42328</v>
      </c>
      <c r="G21" s="45"/>
      <c r="H21" s="46"/>
      <c r="I21" s="36" t="s">
        <v>38</v>
      </c>
      <c r="K21" s="15">
        <f>IF(AND(YEAR(AprSun1+15)=$H$2+1,MONTH(AprSun1+15)=4),AprSun1+15, "")</f>
        <v>42471</v>
      </c>
      <c r="L21" s="15">
        <f>IF(AND(YEAR(AprSun1+16)=$H$2+1,MONTH(AprSun1+16)=4),AprSun1+16, "")</f>
        <v>42472</v>
      </c>
      <c r="M21" s="15">
        <f>IF(AND(YEAR(AprSun1+17)=$H$2+1,MONTH(AprSun1+17)=4),AprSun1+17, "")</f>
        <v>42473</v>
      </c>
      <c r="N21" s="15">
        <f>IF(AND(YEAR(AprSun1+18)=$H$2+1,MONTH(AprSun1+18)=4),AprSun1+18, "")</f>
        <v>42474</v>
      </c>
      <c r="O21" s="15">
        <f>IF(AND(YEAR(AprSun1+19)=$H$2+1,MONTH(AprSun1+19)=4),AprSun1+19, "")</f>
        <v>42475</v>
      </c>
    </row>
    <row r="22" spans="1:15" ht="12" customHeight="1">
      <c r="A22" s="3">
        <f>IF(AND(YEAR(NovSun1+22)=$H$2,MONTH(NovSun1+22)=11),NovSun1+22, "")</f>
        <v>42331</v>
      </c>
      <c r="B22" s="3">
        <f>IF(AND(YEAR(NovSun1+23)=$H$2,MONTH(NovSun1+23)=11),NovSun1+23, "")</f>
        <v>42332</v>
      </c>
      <c r="C22" s="3">
        <f>IF(AND(YEAR(NovSun1+24)=$H$2,MONTH(NovSun1+24)=11),NovSun1+24, "")</f>
        <v>42333</v>
      </c>
      <c r="D22" s="13">
        <f>IF(AND(YEAR(NovSun1+25)=$H$2,MONTH(NovSun1+25)=11),NovSun1+25, "")</f>
        <v>42334</v>
      </c>
      <c r="E22" s="13">
        <f>IF(AND(YEAR(NovSun1+26)=$H$2,MONTH(NovSun1+26)=11),NovSun1+26, "")</f>
        <v>42335</v>
      </c>
      <c r="G22" s="11" t="s">
        <v>10</v>
      </c>
      <c r="H22" s="16">
        <v>12</v>
      </c>
      <c r="I22" s="36" t="s">
        <v>22</v>
      </c>
      <c r="K22" s="3">
        <f>IF(AND(YEAR(AprSun1+22)=$H$2+1,MONTH(AprSun1+22)=4),AprSun1+22, "")</f>
        <v>42478</v>
      </c>
      <c r="L22" s="3">
        <f>IF(AND(YEAR(AprSun1+23)=$H$2+1,MONTH(AprSun1+23)=4),AprSun1+23, "")</f>
        <v>42479</v>
      </c>
      <c r="M22" s="3">
        <f>IF(AND(YEAR(AprSun1+24)=$H$2+1,MONTH(AprSun1+24)=4),AprSun1+24, "")</f>
        <v>42480</v>
      </c>
      <c r="N22" s="3">
        <f>IF(AND(YEAR(AprSun1+25)=$H$2+1,MONTH(AprSun1+25)=4),AprSun1+25, "")</f>
        <v>42481</v>
      </c>
      <c r="O22" s="3">
        <f>IF(AND(YEAR(AprSun1+26)=$H$2+1,MONTH(AprSun1+26)=4),AprSun1+26, "")</f>
        <v>42482</v>
      </c>
    </row>
    <row r="23" spans="1:15" ht="12" customHeight="1">
      <c r="A23" s="3">
        <f>IF(AND(YEAR(NovSun1+29)=$H$2,MONTH(NovSun1+29)=11),NovSun1+29, "")</f>
        <v>42338</v>
      </c>
      <c r="B23" s="3" t="str">
        <f>IF(AND(YEAR(NovSun1+30)=$H$2,MONTH(NovSun1+30)=11),NovSun1+30, "")</f>
        <v/>
      </c>
      <c r="C23" s="3" t="str">
        <f>IF(AND(YEAR(NovSun1+31)=$H$2,MONTH(NovSun1+31)=11),NovSun1+31, "")</f>
        <v/>
      </c>
      <c r="D23" s="3" t="str">
        <f>IF(AND(YEAR(NovSun1+32)=$H$2,MONTH(NovSun1+32)=11),NovSun1+32, "")</f>
        <v/>
      </c>
      <c r="E23" s="3" t="str">
        <f>IF(AND(YEAR(NovSun1+33)=$H$2,MONTH(NovSun1+33)=11),NovSun1+33, "")</f>
        <v/>
      </c>
      <c r="G23" s="11" t="s">
        <v>39</v>
      </c>
      <c r="H23" s="16" t="s">
        <v>40</v>
      </c>
      <c r="I23" s="41" t="s">
        <v>41</v>
      </c>
      <c r="K23" s="3">
        <f>IF(AND(YEAR(AprSun1+29)=$H$2+1,MONTH(AprSun1+29)=4),AprSun1+29, "")</f>
        <v>42485</v>
      </c>
      <c r="L23" s="3">
        <f>IF(AND(YEAR(AprSun1+30)=$H$2+1,MONTH(AprSun1+30)=4),AprSun1+30, "")</f>
        <v>42486</v>
      </c>
      <c r="M23" s="3">
        <f>IF(AND(YEAR(AprSun1+31)=$H$2+1,MONTH(AprSun1+31)=4),AprSun1+31, "")</f>
        <v>42487</v>
      </c>
      <c r="N23" s="3">
        <f>IF(AND(YEAR(AprSun1+32)=$H$2+1,MONTH(AprSun1+32)=4),AprSun1+32, "")</f>
        <v>42488</v>
      </c>
      <c r="O23" s="3">
        <f>IF(AND(YEAR(AprSun1+33)=$H$2+1,MONTH(AprSun1+33)=4),AprSun1+33, "")</f>
        <v>42489</v>
      </c>
    </row>
    <row r="24" spans="1:15" ht="12" customHeight="1">
      <c r="A24" s="4" t="str">
        <f>IF(AND(YEAR(NovSun1+36)=$H$2,MONTH(NovSun1+36)=11),NovSun1+36, "")</f>
        <v/>
      </c>
      <c r="B24" s="4" t="str">
        <f>IF(AND(YEAR(NovSun1+37)=$H$2,MONTH(NovSun1+37)=11),NovSun1+37, "")</f>
        <v/>
      </c>
      <c r="C24" s="4" t="str">
        <f>IF(AND(YEAR(NovSun1+38)=$H$2,MONTH(NovSun1+38)=11),NovSun1+38, "")</f>
        <v/>
      </c>
      <c r="D24" s="4" t="str">
        <f>IF(AND(YEAR(NovSun1+39)=$H$2,MONTH(NovSun1+39)=11),NovSun1+39, "")</f>
        <v/>
      </c>
      <c r="E24" s="4" t="str">
        <f>IF(AND(YEAR(NovSun1+40)=$H$2,MONTH(NovSun1+40)=11),NovSun1+40, "")</f>
        <v/>
      </c>
      <c r="G24" s="11" t="s">
        <v>11</v>
      </c>
      <c r="H24" s="49">
        <v>25</v>
      </c>
      <c r="I24" s="36" t="s">
        <v>42</v>
      </c>
      <c r="K24" s="4" t="str">
        <f>IF(AND(YEAR(AprSun1+36)=$H$2+1,MONTH(AprSun1+36)=4),AprSun1+36, "")</f>
        <v/>
      </c>
      <c r="L24" s="4" t="str">
        <f>IF(AND(YEAR(AprSun1+37)=$H$2+1,MONTH(AprSun1+37)=4),AprSun1+37, "")</f>
        <v/>
      </c>
      <c r="M24" s="4" t="str">
        <f>IF(AND(YEAR(AprSun1+38)=$H$2+1,MONTH(AprSun1+38)=4),AprSun1+38, "")</f>
        <v/>
      </c>
      <c r="N24" s="4" t="str">
        <f>IF(AND(YEAR(AprSun1+39)=$H$2+1,MONTH(AprSun1+39)=4),AprSun1+39, "")</f>
        <v/>
      </c>
      <c r="O24" s="4" t="str">
        <f>IF(AND(YEAR(AprSun1+40)=$H$2+1,MONTH(AprSun1+40)=4),AprSun1+40, "")</f>
        <v/>
      </c>
    </row>
    <row r="25" spans="1:15" ht="12" customHeight="1">
      <c r="A25" s="30" t="s">
        <v>9</v>
      </c>
      <c r="B25" s="31"/>
      <c r="C25" s="31"/>
      <c r="D25" s="31"/>
      <c r="E25" s="32"/>
      <c r="G25" s="11" t="s">
        <v>24</v>
      </c>
      <c r="H25" s="46"/>
      <c r="I25" s="47"/>
      <c r="K25" s="30" t="s">
        <v>13</v>
      </c>
      <c r="L25" s="31"/>
      <c r="M25" s="31"/>
      <c r="N25" s="31"/>
      <c r="O25" s="32"/>
    </row>
    <row r="26" spans="1:15" ht="12" customHeight="1">
      <c r="A26" s="2" t="s">
        <v>2</v>
      </c>
      <c r="B26" s="2" t="s">
        <v>3</v>
      </c>
      <c r="C26" s="2" t="s">
        <v>4</v>
      </c>
      <c r="D26" s="2" t="s">
        <v>3</v>
      </c>
      <c r="E26" s="2" t="s">
        <v>5</v>
      </c>
      <c r="G26" s="11" t="s">
        <v>12</v>
      </c>
      <c r="H26" s="16" t="s">
        <v>55</v>
      </c>
      <c r="I26" s="41" t="s">
        <v>43</v>
      </c>
      <c r="K26" s="2" t="s">
        <v>2</v>
      </c>
      <c r="L26" s="2" t="s">
        <v>3</v>
      </c>
      <c r="M26" s="2" t="s">
        <v>4</v>
      </c>
      <c r="N26" s="2" t="s">
        <v>3</v>
      </c>
      <c r="O26" s="2" t="s">
        <v>5</v>
      </c>
    </row>
    <row r="27" spans="1:15" ht="12" customHeight="1">
      <c r="A27" s="3" t="str">
        <f>IF(AND(YEAR(DecSun1+1)=$H$2,MONTH(DecSun1+1)=12),DecSun1+1, "")</f>
        <v/>
      </c>
      <c r="B27" s="3">
        <f>IF(AND(YEAR(DecSun1+2)=$H$2,MONTH(DecSun1+2)=12),DecSun1+2, "")</f>
        <v>42339</v>
      </c>
      <c r="C27" s="3">
        <f>IF(AND(YEAR(DecSun1+3)=$H$2,MONTH(DecSun1+3)=12),DecSun1+3, "")</f>
        <v>42340</v>
      </c>
      <c r="D27" s="3">
        <f>IF(AND(YEAR(DecSun1+4)=$H$2,MONTH(DecSun1+4)=12),DecSun1+4, "")</f>
        <v>42341</v>
      </c>
      <c r="E27" s="3">
        <f>IF(AND(YEAR(DecSun1+5)=$H$2,MONTH(DecSun1+5)=12),DecSun1+5, "")</f>
        <v>42342</v>
      </c>
      <c r="G27" s="11" t="s">
        <v>53</v>
      </c>
      <c r="H27" s="46"/>
      <c r="I27" s="47"/>
      <c r="K27" s="3">
        <f>IF(AND(YEAR(MaySun1+1)=$H$2+1,MONTH(MaySun1+1)=5),MaySun1+1, "")</f>
        <v>42492</v>
      </c>
      <c r="L27" s="3">
        <f>IF(AND(YEAR(MaySun1+2)=$H$2+1,MONTH(MaySun1+2)=5),MaySun1+2, "")</f>
        <v>42493</v>
      </c>
      <c r="M27" s="3">
        <f>IF(AND(YEAR(MaySun1+3)=$H$2+1,MONTH(MaySun1+3)=5),MaySun1+3, "")</f>
        <v>42494</v>
      </c>
      <c r="N27" s="3">
        <f>IF(AND(YEAR(MaySun1+4)=$H$2+1,MONTH(MaySun1+4)=5),MaySun1+4, "")</f>
        <v>42495</v>
      </c>
      <c r="O27" s="3">
        <f>IF(AND(YEAR(MaySun1+5)=$H$2+1,MONTH(MaySun1+5)=5),MaySun1+5, "")</f>
        <v>42496</v>
      </c>
    </row>
    <row r="28" spans="1:15" ht="12" customHeight="1">
      <c r="A28" s="3">
        <f>IF(AND(YEAR(DecSun1+8)=$H$2,MONTH(DecSun1+8)=12),DecSun1+8, "")</f>
        <v>42345</v>
      </c>
      <c r="B28" s="3">
        <f>IF(AND(YEAR(DecSun1+9)=$H$2,MONTH(DecSun1+9)=12),DecSun1+9, "")</f>
        <v>42346</v>
      </c>
      <c r="C28" s="3">
        <f>IF(AND(YEAR(DecSun1+10)=$H$2,MONTH(DecSun1+10)=12),DecSun1+10, "")</f>
        <v>42347</v>
      </c>
      <c r="D28" s="3">
        <f>IF(AND(YEAR(DecSun1+11)=$H$2,MONTH(DecSun1+11)=12),DecSun1+11, "")</f>
        <v>42348</v>
      </c>
      <c r="E28" s="3">
        <f>IF(AND(YEAR(DecSun1+12)=$H$2,MONTH(DecSun1+12)=12),DecSun1+12, "")</f>
        <v>42349</v>
      </c>
      <c r="G28" s="37" t="s">
        <v>13</v>
      </c>
      <c r="H28" s="16">
        <v>30</v>
      </c>
      <c r="I28" s="42" t="s">
        <v>44</v>
      </c>
      <c r="K28" s="3">
        <f>IF(AND(YEAR(MaySun1+8)=$H$2+1,MONTH(MaySun1+8)=5),MaySun1+8, "")</f>
        <v>42499</v>
      </c>
      <c r="L28" s="3">
        <f>IF(AND(YEAR(MaySun1+9)=$H$2+1,MONTH(MaySun1+9)=5),MaySun1+9, "")</f>
        <v>42500</v>
      </c>
      <c r="M28" s="3">
        <f>IF(AND(YEAR(MaySun1+10)=$H$2+1,MONTH(MaySun1+10)=5),MaySun1+10, "")</f>
        <v>42501</v>
      </c>
      <c r="N28" s="3">
        <f>IF(AND(YEAR(MaySun1+11)=$H$2+1,MONTH(MaySun1+11)=5),MaySun1+11, "")</f>
        <v>42502</v>
      </c>
      <c r="O28" s="3">
        <f>IF(AND(YEAR(MaySun1+12)=$H$2+1,MONTH(MaySun1+12)=5),MaySun1+12, "")</f>
        <v>42503</v>
      </c>
    </row>
    <row r="29" spans="1:15" ht="12" customHeight="1">
      <c r="A29" s="3">
        <f>IF(AND(YEAR(DecSun1+15)=$H$2,MONTH(DecSun1+15)=12),DecSun1+15, "")</f>
        <v>42352</v>
      </c>
      <c r="B29" s="3">
        <f>IF(AND(YEAR(DecSun1+16)=$H$2,MONTH(DecSun1+16)=12),DecSun1+16, "")</f>
        <v>42353</v>
      </c>
      <c r="C29" s="3">
        <f>IF(AND(YEAR(DecSun1+17)=$H$2,MONTH(DecSun1+17)=12),DecSun1+17, "")</f>
        <v>42354</v>
      </c>
      <c r="D29" s="3">
        <f>IF(AND(YEAR(DecSun1+18)=$H$2,MONTH(DecSun1+18)=12),DecSun1+18, "")</f>
        <v>42355</v>
      </c>
      <c r="E29" s="3">
        <f>IF(AND(YEAR(DecSun1+19)=$H$2,MONTH(DecSun1+19)=12),DecSun1+19, "")</f>
        <v>42356</v>
      </c>
      <c r="G29" s="37" t="s">
        <v>45</v>
      </c>
      <c r="H29" s="46"/>
      <c r="I29" s="47"/>
      <c r="K29" s="3">
        <f>IF(AND(YEAR(MaySun1+15)=$H$2+1,MONTH(MaySun1+15)=5),MaySun1+15, "")</f>
        <v>42506</v>
      </c>
      <c r="L29" s="3">
        <f>IF(AND(YEAR(MaySun1+16)=$H$2+1,MONTH(MaySun1+16)=5),MaySun1+16, "")</f>
        <v>42507</v>
      </c>
      <c r="M29" s="3">
        <f>IF(AND(YEAR(MaySun1+17)=$H$2+1,MONTH(MaySun1+17)=5),MaySun1+17, "")</f>
        <v>42508</v>
      </c>
      <c r="N29" s="3">
        <f>IF(AND(YEAR(MaySun1+18)=$H$2+1,MONTH(MaySun1+18)=5),MaySun1+18, "")</f>
        <v>42509</v>
      </c>
      <c r="O29" s="3">
        <f>IF(AND(YEAR(MaySun1+19)=$H$2+1,MONTH(MaySun1+19)=5),MaySun1+19, "")</f>
        <v>42510</v>
      </c>
    </row>
    <row r="30" spans="1:15" ht="12" customHeight="1">
      <c r="A30" s="3">
        <f>IF(AND(YEAR(DecSun1+22)=$H$2,MONTH(DecSun1+22)=12),DecSun1+22, "")</f>
        <v>42359</v>
      </c>
      <c r="B30" s="3">
        <f>IF(AND(YEAR(DecSun1+23)=$H$2,MONTH(DecSun1+23)=12),DecSun1+23, "")</f>
        <v>42360</v>
      </c>
      <c r="C30" s="3">
        <f>IF(AND(YEAR(DecSun1+24)=$H$2,MONTH(DecSun1+24)=12),DecSun1+24, "")</f>
        <v>42361</v>
      </c>
      <c r="D30" s="13">
        <f>IF(AND(YEAR(DecSun1+25)=$H$2,MONTH(DecSun1+25)=12),DecSun1+25, "")</f>
        <v>42362</v>
      </c>
      <c r="E30" s="13">
        <f>IF(AND(YEAR(DecSun1+26)=$H$2,MONTH(DecSun1+26)=12),DecSun1+26, "")</f>
        <v>42363</v>
      </c>
      <c r="G30" s="45"/>
      <c r="H30" s="46"/>
      <c r="I30" s="47"/>
      <c r="K30" s="3">
        <f>IF(AND(YEAR(MaySun1+22)=$H$2+1,MONTH(MaySun1+22)=5),MaySun1+22, "")</f>
        <v>42513</v>
      </c>
      <c r="L30" s="3">
        <f>IF(AND(YEAR(MaySun1+23)=$H$2+1,MONTH(MaySun1+23)=5),MaySun1+23, "")</f>
        <v>42514</v>
      </c>
      <c r="M30" s="3">
        <f>IF(AND(YEAR(MaySun1+24)=$H$2+1,MONTH(MaySun1+24)=5),MaySun1+24, "")</f>
        <v>42515</v>
      </c>
      <c r="N30" s="3">
        <f>IF(AND(YEAR(MaySun1+25)=$H$2+1,MONTH(MaySun1+25)=5),MaySun1+25, "")</f>
        <v>42516</v>
      </c>
      <c r="O30" s="3">
        <f>IF(AND(YEAR(MaySun1+26)=$H$2+1,MONTH(MaySun1+26)=5),MaySun1+26, "")</f>
        <v>42517</v>
      </c>
    </row>
    <row r="31" spans="1:15" ht="12" customHeight="1">
      <c r="A31" s="13">
        <f>IF(AND(YEAR(DecSun1+29)=$H$2,MONTH(DecSun1+29)=12),DecSun1+29, "")</f>
        <v>42366</v>
      </c>
      <c r="B31" s="13">
        <f>IF(AND(YEAR(DecSun1+30)=$H$2,MONTH(DecSun1+30)=12),DecSun1+30, "")</f>
        <v>42367</v>
      </c>
      <c r="C31" s="13">
        <f>IF(AND(YEAR(DecSun1+31)=$H$2,MONTH(DecSun1+31)=12),DecSun1+31, "")</f>
        <v>42368</v>
      </c>
      <c r="D31" s="13">
        <f>IF(AND(YEAR(DecSun1+32)=$H$2,MONTH(DecSun1+32)=12),DecSun1+32, "")</f>
        <v>42369</v>
      </c>
      <c r="E31" s="3" t="str">
        <f>IF(AND(YEAR(DecSun1+33)=$H$2,MONTH(DecSun1+33)=12),DecSun1+33, "")</f>
        <v/>
      </c>
      <c r="G31" s="37" t="s">
        <v>14</v>
      </c>
      <c r="H31" s="49">
        <v>20</v>
      </c>
      <c r="I31" s="42" t="s">
        <v>47</v>
      </c>
      <c r="K31" s="13">
        <f>IF(AND(YEAR(MaySun1+29)=$H$2+1,MONTH(MaySun1+29)=5),MaySun1+29, "")</f>
        <v>42520</v>
      </c>
      <c r="L31" s="3">
        <f>IF(AND(YEAR(MaySun1+30)=$H$2+1,MONTH(MaySun1+30)=5),MaySun1+30, "")</f>
        <v>42521</v>
      </c>
      <c r="M31" s="3" t="str">
        <f>IF(AND(YEAR(MaySun1+31)=$H$2+1,MONTH(MaySun1+31)=5),MaySun1+31, "")</f>
        <v/>
      </c>
      <c r="N31" s="3" t="str">
        <f>IF(AND(YEAR(MaySun1+32)=$H$2+1,MONTH(MaySun1+32)=5),MaySun1+32, "")</f>
        <v/>
      </c>
      <c r="O31" s="3" t="str">
        <f>IF(AND(YEAR(MaySun1+33)=$H$2+1,MONTH(MaySun1+33)=5),MaySun1+33, "")</f>
        <v/>
      </c>
    </row>
    <row r="32" spans="1:15" ht="12" customHeight="1">
      <c r="A32" s="3" t="str">
        <f>IF(AND(YEAR(DecSun1+36)=$H$2,MONTH(DecSun1+36)=12),DecSun1+36, "")</f>
        <v/>
      </c>
      <c r="B32" s="3" t="str">
        <f>IF(AND(YEAR(DecSun1+37)=$H$2,MONTH(DecSun1+37)=12),DecSun1+37, "")</f>
        <v/>
      </c>
      <c r="C32" s="3" t="str">
        <f>IF(AND(YEAR(DecSun1+38)=$H$2,MONTH(DecSun1+38)=12),DecSun1+38, "")</f>
        <v/>
      </c>
      <c r="D32" s="3" t="str">
        <f>IF(AND(YEAR(DecSun1+39)=$H$2,MONTH(DecSun1+39)=12),DecSun1+39, "")</f>
        <v/>
      </c>
      <c r="E32" s="3" t="str">
        <f>IF(AND(YEAR(DecSun1+40)=$H$2,MONTH(DecSun1+40)=12),DecSun1+40, "")</f>
        <v/>
      </c>
      <c r="G32" s="11" t="s">
        <v>23</v>
      </c>
      <c r="H32" s="49">
        <v>21</v>
      </c>
      <c r="I32" s="42" t="s">
        <v>46</v>
      </c>
      <c r="K32" s="4" t="str">
        <f>IF(AND(YEAR(MaySun1+36)=$H$2+1,MONTH(MaySun1+36)=5),MaySun1+36, "")</f>
        <v/>
      </c>
      <c r="L32" s="4" t="str">
        <f>IF(AND(YEAR(MaySun1+37)=$H$2+1,MONTH(MaySun1+37)=5),MaySun1+37, "")</f>
        <v/>
      </c>
      <c r="M32" s="4" t="str">
        <f>IF(AND(YEAR(MaySun1+38)=$H$2+1,MONTH(MaySun1+38)=5),MaySun1+38, "")</f>
        <v/>
      </c>
      <c r="N32" s="4" t="str">
        <f>IF(AND(YEAR(MaySun1+39)=$H$2+1,MONTH(MaySun1+39)=5),MaySun1+39, "")</f>
        <v/>
      </c>
      <c r="O32" s="4" t="str">
        <f>IF(AND(YEAR(MaySun1+40)=$H$2+1,MONTH(MaySun1+40)=5),MaySun1+40, "")</f>
        <v/>
      </c>
    </row>
    <row r="33" spans="1:15" ht="12" customHeight="1">
      <c r="A33" s="30" t="s">
        <v>7</v>
      </c>
      <c r="B33" s="31"/>
      <c r="C33" s="31"/>
      <c r="D33" s="31"/>
      <c r="E33" s="32"/>
      <c r="G33" s="11"/>
      <c r="H33" s="49">
        <v>22</v>
      </c>
      <c r="I33" s="48" t="s">
        <v>48</v>
      </c>
      <c r="K33" s="30" t="s">
        <v>14</v>
      </c>
      <c r="L33" s="31"/>
      <c r="M33" s="31"/>
      <c r="N33" s="31"/>
      <c r="O33" s="32"/>
    </row>
    <row r="34" spans="1:15" ht="12" customHeight="1">
      <c r="A34" s="2" t="s">
        <v>2</v>
      </c>
      <c r="B34" s="2" t="s">
        <v>3</v>
      </c>
      <c r="C34" s="2" t="s">
        <v>4</v>
      </c>
      <c r="D34" s="2" t="s">
        <v>3</v>
      </c>
      <c r="E34" s="2" t="s">
        <v>5</v>
      </c>
      <c r="G34" s="11"/>
      <c r="H34" s="40"/>
      <c r="I34" s="36"/>
      <c r="K34" s="2" t="s">
        <v>2</v>
      </c>
      <c r="L34" s="2" t="s">
        <v>3</v>
      </c>
      <c r="M34" s="2" t="s">
        <v>4</v>
      </c>
      <c r="N34" s="2" t="s">
        <v>3</v>
      </c>
      <c r="O34" s="2" t="s">
        <v>5</v>
      </c>
    </row>
    <row r="35" spans="1:15" ht="12" customHeight="1">
      <c r="A35" s="3" t="str">
        <f>IF(AND(YEAR(JanSun1+1)=$H$2+1,MONTH(JanSun1+1)=1),JanSun1+1, "")</f>
        <v/>
      </c>
      <c r="B35" s="3" t="str">
        <f>IF(AND(YEAR(JanSun1+2)=$H$2+1,MONTH(JanSun1+2)=1),JanSun1+2, "")</f>
        <v/>
      </c>
      <c r="C35" s="3" t="str">
        <f>IF(AND(YEAR(JanSun1+3)=$H$2+1,MONTH(JanSun1+3)=1),JanSun1+3, "")</f>
        <v/>
      </c>
      <c r="D35" s="3" t="str">
        <f>IF(AND(YEAR(JanSun1+4)=$H$2+1,MONTH(JanSun1+4)=1),JanSun1+4, "")</f>
        <v/>
      </c>
      <c r="E35" s="13">
        <f>IF(AND(YEAR(JanSun1+5)=$H$2+1,MONTH(JanSun1+5)=1),JanSun1+5, "")</f>
        <v>42370</v>
      </c>
      <c r="G35" s="12"/>
      <c r="H35" s="43"/>
      <c r="I35" s="44"/>
      <c r="K35" s="3" t="str">
        <f>IF(AND(YEAR(JunSun1+1)=$H$2+1,MONTH(JunSun1+1)=6),JunSun1+1, "")</f>
        <v/>
      </c>
      <c r="L35" s="3" t="str">
        <f>IF(AND(YEAR(JunSun1+2)=$H$2+1,MONTH(JunSun1+2)=6),JunSun1+2, "")</f>
        <v/>
      </c>
      <c r="M35" s="3">
        <f>IF(AND(YEAR(JunSun1+3)=$H$2+1,MONTH(JunSun1+3)=6),JunSun1+3, "")</f>
        <v>42522</v>
      </c>
      <c r="N35" s="3">
        <f>IF(AND(YEAR(JunSun1+4)=$H$2+1,MONTH(JunSun1+4)=6),JunSun1+4, "")</f>
        <v>42523</v>
      </c>
      <c r="O35" s="3">
        <f>IF(AND(YEAR(JunSun1+5)=$H$2+1,MONTH(JunSun1+5)=6),JunSun1+5, "")</f>
        <v>42524</v>
      </c>
    </row>
    <row r="36" spans="1:15" ht="12" customHeight="1">
      <c r="A36" s="3">
        <f>IF(AND(YEAR(JanSun1+8)=$H$2+1,MONTH(JanSun1+8)=1),JanSun1+8, "")</f>
        <v>42373</v>
      </c>
      <c r="B36" s="3">
        <f>IF(AND(YEAR(JanSun1+9)=$H$2+1,MONTH(JanSun1+9)=1),JanSun1+9, "")</f>
        <v>42374</v>
      </c>
      <c r="C36" s="3">
        <f>IF(AND(YEAR(JanSun1+10)=$H$2+1,MONTH(JanSun1+10)=1),JanSun1+10, "")</f>
        <v>42375</v>
      </c>
      <c r="D36" s="3">
        <f>IF(AND(YEAR(JanSun1+11)=$H$2+1,MONTH(JanSun1+11)=1),JanSun1+11, "")</f>
        <v>42376</v>
      </c>
      <c r="E36" s="3">
        <f>IF(AND(YEAR(JanSun1+12)=$H$2+1,MONTH(JanSun1+12)=1),JanSun1+12, "")</f>
        <v>42377</v>
      </c>
      <c r="G36" s="6"/>
      <c r="H36" s="5"/>
      <c r="I36" s="6"/>
      <c r="K36" s="3">
        <f>IF(AND(YEAR(JunSun1+8)=$H$2+1,MONTH(JunSun1+8)=6),JunSun1+8, "")</f>
        <v>42527</v>
      </c>
      <c r="L36" s="3">
        <f>IF(AND(YEAR(JunSun1+9)=$H$2+1,MONTH(JunSun1+9)=6),JunSun1+9, "")</f>
        <v>42528</v>
      </c>
      <c r="M36" s="3">
        <f>IF(AND(YEAR(JunSun1+10)=$H$2+1,MONTH(JunSun1+10)=6),JunSun1+10, "")</f>
        <v>42529</v>
      </c>
      <c r="N36" s="3">
        <f>IF(AND(YEAR(JunSun1+11)=$H$2+1,MONTH(JunSun1+11)=6),JunSun1+11, "")</f>
        <v>42530</v>
      </c>
      <c r="O36" s="3">
        <f>IF(AND(YEAR(JunSun1+12)=$H$2+1,MONTH(JunSun1+12)=6),JunSun1+12, "")</f>
        <v>42531</v>
      </c>
    </row>
    <row r="37" spans="1:15" ht="12" customHeight="1">
      <c r="A37" s="3">
        <f>IF(AND(YEAR(JanSun1+15)=$H$2+1,MONTH(JanSun1+15)=1),JanSun1+15, "")</f>
        <v>42380</v>
      </c>
      <c r="B37" s="3">
        <f>IF(AND(YEAR(JanSun1+16)=$H$2+1,MONTH(JanSun1+16)=1),JanSun1+16, "")</f>
        <v>42381</v>
      </c>
      <c r="C37" s="3">
        <f>IF(AND(YEAR(JanSun1+17)=$H$2+1,MONTH(JanSun1+17)=1),JanSun1+17, "")</f>
        <v>42382</v>
      </c>
      <c r="D37" s="3">
        <f>IF(AND(YEAR(JanSun1+18)=$H$2+1,MONTH(JanSun1+18)=1),JanSun1+18, "")</f>
        <v>42383</v>
      </c>
      <c r="E37" s="3">
        <f>IF(AND(YEAR(JanSun1+19)=$H$2+1,MONTH(JanSun1+19)=1),JanSun1+19, "")</f>
        <v>42384</v>
      </c>
      <c r="G37" s="6" t="s">
        <v>15</v>
      </c>
      <c r="H37" s="7"/>
      <c r="I37" s="8" t="s">
        <v>16</v>
      </c>
      <c r="K37" s="3">
        <f>IF(AND(YEAR(JunSun1+15)=$H$2+1,MONTH(JunSun1+15)=6),JunSun1+15, "")</f>
        <v>42534</v>
      </c>
      <c r="L37" s="3">
        <f>IF(AND(YEAR(JunSun1+16)=$H$2+1,MONTH(JunSun1+16)=6),JunSun1+16, "")</f>
        <v>42535</v>
      </c>
      <c r="M37" s="3">
        <f>IF(AND(YEAR(JunSun1+17)=$H$2+1,MONTH(JunSun1+17)=6),JunSun1+17, "")</f>
        <v>42536</v>
      </c>
      <c r="N37" s="3">
        <f>IF(AND(YEAR(JunSun1+18)=$H$2+1,MONTH(JunSun1+18)=6),JunSun1+18, "")</f>
        <v>42537</v>
      </c>
      <c r="O37" s="3">
        <f>IF(AND(YEAR(JunSun1+19)=$H$2+1,MONTH(JunSun1+19)=6),JunSun1+19, "")</f>
        <v>42538</v>
      </c>
    </row>
    <row r="38" spans="1:15" ht="12" customHeight="1">
      <c r="A38" s="3">
        <f>IF(AND(YEAR(JanSun1+22)=$H$2+1,MONTH(JanSun1+22)=1),JanSun1+22, "")</f>
        <v>42387</v>
      </c>
      <c r="B38" s="3">
        <f>IF(AND(YEAR(JanSun1+23)=$H$2+1,MONTH(JanSun1+23)=1),JanSun1+23, "")</f>
        <v>42388</v>
      </c>
      <c r="C38" s="3">
        <f>IF(AND(YEAR(JanSun1+24)=$H$2+1,MONTH(JanSun1+24)=1),JanSun1+24, "")</f>
        <v>42389</v>
      </c>
      <c r="D38" s="3">
        <f>IF(AND(YEAR(JanSun1+25)=$H$2+1,MONTH(JanSun1+25)=1),JanSun1+25, "")</f>
        <v>42390</v>
      </c>
      <c r="E38" s="3">
        <f>IF(AND(YEAR(JanSun1+26)=$H$2+1,MONTH(JanSun1+26)=1),JanSun1+26, "")</f>
        <v>42391</v>
      </c>
      <c r="G38" s="6"/>
      <c r="H38" s="8"/>
      <c r="I38" s="8" t="s">
        <v>17</v>
      </c>
      <c r="K38" s="3">
        <f>IF(AND(YEAR(JunSun1+22)=$H$2+1,MONTH(JunSun1+22)=6),JunSun1+22, "")</f>
        <v>42541</v>
      </c>
      <c r="L38" s="3">
        <f>IF(AND(YEAR(JunSun1+23)=$H$2+1,MONTH(JunSun1+23)=6),JunSun1+23, "")</f>
        <v>42542</v>
      </c>
      <c r="M38" s="3">
        <f>IF(AND(YEAR(JunSun1+24)=$H$2+1,MONTH(JunSun1+24)=6),JunSun1+24, "")</f>
        <v>42543</v>
      </c>
      <c r="N38" s="3">
        <f>IF(AND(YEAR(JunSun1+25)=$H$2+1,MONTH(JunSun1+25)=6),JunSun1+25, "")</f>
        <v>42544</v>
      </c>
      <c r="O38" s="3">
        <f>IF(AND(YEAR(JunSun1+26)=$H$2+1,MONTH(JunSun1+26)=6),JunSun1+26, "")</f>
        <v>42545</v>
      </c>
    </row>
    <row r="39" spans="1:15" ht="12" customHeight="1">
      <c r="A39" s="3">
        <f>IF(AND(YEAR(JanSun1+29)=$H$2+1,MONTH(JanSun1+29)=1),JanSun1+29, "")</f>
        <v>42394</v>
      </c>
      <c r="B39" s="3">
        <f>IF(AND(YEAR(JanSun1+30)=$H$2+1,MONTH(JanSun1+30)=1),JanSun1+30, "")</f>
        <v>42395</v>
      </c>
      <c r="C39" s="3">
        <f>IF(AND(YEAR(JanSun1+31)=$H$2+1,MONTH(JanSun1+31)=1),JanSun1+31, "")</f>
        <v>42396</v>
      </c>
      <c r="D39" s="3">
        <f>IF(AND(YEAR(JanSun1+32)=$H$2+1,MONTH(JanSun1+32)=1),JanSun1+32, "")</f>
        <v>42397</v>
      </c>
      <c r="E39" s="3">
        <f>IF(AND(YEAR(JanSun1+33)=$H$2+1,MONTH(JanSun1+33)=1),JanSun1+33, "")</f>
        <v>42398</v>
      </c>
      <c r="G39" s="6"/>
      <c r="H39" s="8"/>
      <c r="I39" s="8" t="s">
        <v>18</v>
      </c>
      <c r="K39" s="3">
        <f>IF(AND(YEAR(JunSun1+29)=$H$2+1,MONTH(JunSun1+29)=6),JunSun1+29, "")</f>
        <v>42548</v>
      </c>
      <c r="L39" s="3">
        <f>IF(AND(YEAR(JunSun1+30)=$H$2+1,MONTH(JunSun1+30)=6),JunSun1+30, "")</f>
        <v>42549</v>
      </c>
      <c r="M39" s="3">
        <f>IF(AND(YEAR(JunSun1+31)=$H$2+1,MONTH(JunSun1+31)=6),JunSun1+31, "")</f>
        <v>42550</v>
      </c>
      <c r="N39" s="3">
        <f>IF(AND(YEAR(JunSun1+32)=$H$2+1,MONTH(JunSun1+32)=6),JunSun1+32, "")</f>
        <v>42551</v>
      </c>
      <c r="O39" s="3" t="str">
        <f>IF(AND(YEAR(JunSun1+33)=$H$2+1,MONTH(JunSun1+33)=6),JunSun1+33, "")</f>
        <v/>
      </c>
    </row>
    <row r="40" spans="1:15" ht="12" customHeight="1">
      <c r="A40" s="3" t="str">
        <f>IF(AND(YEAR(JanSun1+36)=$H$2+1,MONTH(JanSun1+36)=1),JanSun1+36, "")</f>
        <v/>
      </c>
      <c r="B40" s="3" t="str">
        <f>IF(AND(YEAR(JanSun1+37)=$H$2+1,MONTH(JanSun1+37)=1),JanSun1+37, "")</f>
        <v/>
      </c>
      <c r="C40" s="3" t="str">
        <f>IF(AND(YEAR(JanSun1+38)=$H$2+1,MONTH(JanSun1+38)=1),JanSun1+38, "")</f>
        <v/>
      </c>
      <c r="D40" s="3" t="str">
        <f>IF(AND(YEAR(JanSun1+39)=$H$2+1,MONTH(JanSun1+39)=1),JanSun1+39, "")</f>
        <v/>
      </c>
      <c r="E40" s="3" t="str">
        <f>IF(AND(YEAR(JanSun1+40)=$H$2+1,MONTH(JanSun1+40)=1),JanSun1+40, "")</f>
        <v/>
      </c>
      <c r="G40" s="6"/>
      <c r="H40" s="6"/>
      <c r="I40" s="6"/>
      <c r="K40" s="3" t="str">
        <f>IF(AND(YEAR(JunSun1+36)=$H$2+1,MONTH(JunSun1+36)=6),JunSun1+36, "")</f>
        <v/>
      </c>
      <c r="L40" s="3" t="str">
        <f>IF(AND(YEAR(JunSun1+37)=$H$2+1,MONTH(JunSun1+37)=6),JunSun1+37, "")</f>
        <v/>
      </c>
      <c r="M40" s="3" t="str">
        <f>IF(AND(YEAR(JunSun1+38)=$H$2+1,MONTH(JunSun1+38)=6),JunSun1+38, "")</f>
        <v/>
      </c>
      <c r="N40" s="3" t="str">
        <f>IF(AND(YEAR(JunSun1+39)=$H$2+1,MONTH(JunSun1+39)=6),JunSun1+39, "")</f>
        <v/>
      </c>
      <c r="O40" s="3" t="str">
        <f>IF(AND(YEAR(JunSun1+40)=$H$2+1,MONTH(JunSun1+40)=6),JunSun1+40, "")</f>
        <v/>
      </c>
    </row>
    <row r="41" spans="1:15" ht="12" customHeight="1">
      <c r="G41" s="6"/>
      <c r="H41" s="6"/>
      <c r="I41" s="6"/>
    </row>
    <row r="42" spans="1:15" ht="12" customHeight="1">
      <c r="A42" s="14"/>
      <c r="G42" s="6"/>
      <c r="H42" s="6"/>
      <c r="I42" s="6"/>
    </row>
    <row r="43" spans="1:15">
      <c r="A43" s="24" t="s">
        <v>49</v>
      </c>
      <c r="B43" s="25"/>
      <c r="C43" s="25"/>
      <c r="D43" s="25"/>
      <c r="E43" s="25"/>
      <c r="F43" s="25"/>
      <c r="G43" s="26"/>
      <c r="H43" s="24" t="s">
        <v>50</v>
      </c>
      <c r="I43" s="26"/>
      <c r="J43" s="24" t="s">
        <v>51</v>
      </c>
      <c r="K43" s="25"/>
      <c r="L43" s="25"/>
      <c r="M43" s="25"/>
      <c r="N43" s="25"/>
      <c r="O43" s="26"/>
    </row>
    <row r="44" spans="1:15">
      <c r="A44" s="27"/>
      <c r="B44" s="28"/>
      <c r="C44" s="28"/>
      <c r="D44" s="28"/>
      <c r="E44" s="28"/>
      <c r="F44" s="28"/>
      <c r="G44" s="29"/>
      <c r="H44" s="27"/>
      <c r="I44" s="29"/>
      <c r="J44" s="27"/>
      <c r="K44" s="28"/>
      <c r="L44" s="28"/>
      <c r="M44" s="28"/>
      <c r="N44" s="28"/>
      <c r="O44" s="29"/>
    </row>
    <row r="45" spans="1:15" ht="11" customHeight="1"/>
    <row r="46" spans="1:15">
      <c r="A46" s="18" t="s">
        <v>52</v>
      </c>
      <c r="B46" s="19"/>
      <c r="C46" s="19"/>
      <c r="D46" s="19"/>
      <c r="E46" s="19"/>
      <c r="F46" s="19"/>
      <c r="G46" s="19"/>
      <c r="H46" s="19"/>
      <c r="I46" s="19"/>
      <c r="J46" s="19"/>
      <c r="K46" s="19"/>
      <c r="L46" s="19"/>
      <c r="M46" s="19"/>
      <c r="N46" s="19"/>
      <c r="O46" s="20"/>
    </row>
    <row r="47" spans="1:15" ht="25" customHeight="1">
      <c r="A47" s="21"/>
      <c r="B47" s="22"/>
      <c r="C47" s="22"/>
      <c r="D47" s="22"/>
      <c r="E47" s="22"/>
      <c r="F47" s="22"/>
      <c r="G47" s="22"/>
      <c r="H47" s="22"/>
      <c r="I47" s="22"/>
      <c r="J47" s="22"/>
      <c r="K47" s="22"/>
      <c r="L47" s="22"/>
      <c r="M47" s="22"/>
      <c r="N47" s="22"/>
      <c r="O47" s="23"/>
    </row>
    <row r="48" spans="1:15" ht="8" customHeight="1"/>
    <row r="49" spans="1:15">
      <c r="A49" s="18" t="s">
        <v>57</v>
      </c>
      <c r="B49" s="19"/>
      <c r="C49" s="19"/>
      <c r="D49" s="19"/>
      <c r="E49" s="19"/>
      <c r="F49" s="19"/>
      <c r="G49" s="19"/>
      <c r="H49" s="19"/>
      <c r="I49" s="19"/>
      <c r="J49" s="19"/>
      <c r="K49" s="19"/>
      <c r="L49" s="19"/>
      <c r="M49" s="19"/>
      <c r="N49" s="19"/>
      <c r="O49" s="20"/>
    </row>
    <row r="50" spans="1:15" ht="19" customHeight="1">
      <c r="A50" s="21"/>
      <c r="B50" s="22"/>
      <c r="C50" s="22"/>
      <c r="D50" s="22"/>
      <c r="E50" s="22"/>
      <c r="F50" s="22"/>
      <c r="G50" s="22"/>
      <c r="H50" s="22"/>
      <c r="I50" s="22"/>
      <c r="J50" s="22"/>
      <c r="K50" s="22"/>
      <c r="L50" s="22"/>
      <c r="M50" s="22"/>
      <c r="N50" s="22"/>
      <c r="O50" s="23"/>
    </row>
  </sheetData>
  <mergeCells count="16">
    <mergeCell ref="A33:E33"/>
    <mergeCell ref="K1:O1"/>
    <mergeCell ref="K9:O9"/>
    <mergeCell ref="K17:O17"/>
    <mergeCell ref="K25:O25"/>
    <mergeCell ref="K33:O33"/>
    <mergeCell ref="G1:I1"/>
    <mergeCell ref="A1:E1"/>
    <mergeCell ref="A9:E9"/>
    <mergeCell ref="A17:E17"/>
    <mergeCell ref="A25:E25"/>
    <mergeCell ref="A46:O47"/>
    <mergeCell ref="A49:O50"/>
    <mergeCell ref="A43:G44"/>
    <mergeCell ref="H43:I44"/>
    <mergeCell ref="J43:O44"/>
  </mergeCells>
  <phoneticPr fontId="1" type="noConversion"/>
  <pageMargins left="0.75" right="0.75" top="1" bottom="1" header="0.5" footer="0.5"/>
  <pageSetup orientation="portrait" horizontalDpi="4294967292" verticalDpi="4294967292"/>
  <headerFooter>
    <oddHeader>&amp;LDRAFT</oddHeader>
    <oddFooter>&amp;LApproved:_x000D_Revised: March 10, 2015_x000D_</oddFooter>
  </headerFooter>
  <drawing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Calendar</vt:lpstr>
    </vt:vector>
  </TitlesOfParts>
  <Company>Franklin Lakes School District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Barrett Hartman</dc:creator>
  <cp:lastModifiedBy>IT Department</cp:lastModifiedBy>
  <cp:lastPrinted>2015-03-10T14:25:00Z</cp:lastPrinted>
  <dcterms:created xsi:type="dcterms:W3CDTF">2012-12-03T14:17:11Z</dcterms:created>
  <dcterms:modified xsi:type="dcterms:W3CDTF">2015-03-10T14:26:59Z</dcterms:modified>
</cp:coreProperties>
</file>